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Z:\2025\Projetos Arquitetônicos\1. UBS - Gleba III\4 - PLANILHAS\"/>
    </mc:Choice>
  </mc:AlternateContent>
  <xr:revisionPtr revIDLastSave="0" documentId="13_ncr:1_{435E7225-3E28-490A-9C5E-0AC6539A6601}" xr6:coauthVersionLast="47" xr6:coauthVersionMax="47" xr10:uidLastSave="{00000000-0000-0000-0000-000000000000}"/>
  <bookViews>
    <workbookView xWindow="4020" yWindow="2145" windowWidth="21600" windowHeight="13260" tabRatio="832" xr2:uid="{00000000-000D-0000-FFFF-FFFF00000000}"/>
  </bookViews>
  <sheets>
    <sheet name="PLANILHA" sheetId="4" r:id="rId1"/>
    <sheet name="FISICO FINANCEIRO" sheetId="6" r:id="rId2"/>
  </sheets>
  <externalReferences>
    <externalReference r:id="rId3"/>
  </externalReferences>
  <definedNames>
    <definedName name="__xlnm.Print_Area_1">0</definedName>
    <definedName name="__xlnm.Print_Titles_1">0</definedName>
    <definedName name="_1Excel_BuiltIn_Print_Area_1_1_1_1">#REF!</definedName>
    <definedName name="_xlnm._FilterDatabase" localSheetId="1" hidden="1">'FISICO FINANCEIRO'!#REF!</definedName>
    <definedName name="_xlnm._FilterDatabase" localSheetId="0" hidden="1">PLANILHA!#REF!</definedName>
    <definedName name="a">#REF!</definedName>
    <definedName name="a_1">0</definedName>
    <definedName name="aa">#REF!</definedName>
    <definedName name="AREA">#N/A</definedName>
    <definedName name="_xlnm.Print_Area" localSheetId="1">'FISICO FINANCEIRO'!$A$1:$X$43</definedName>
    <definedName name="CICLOVIA_3">#REF!</definedName>
    <definedName name="CICLOVIA_3_1">0</definedName>
    <definedName name="CICLOVIA_3_2">#REF!</definedName>
    <definedName name="CICLOVIA_3_2_1">0</definedName>
    <definedName name="CICLOVIA_3_4">#REF!</definedName>
    <definedName name="CICLOVIA_3_4_1">0</definedName>
    <definedName name="CICLOVIA_3_5">#REF!</definedName>
    <definedName name="CICLOVIA_3_5_1">0</definedName>
    <definedName name="CP">#REF!</definedName>
    <definedName name="CP_1">0</definedName>
    <definedName name="e">#REF!</definedName>
    <definedName name="e_1">0</definedName>
    <definedName name="Excel_BuiltIn__FilterDatabase">#REF!</definedName>
    <definedName name="Excel_BuiltIn__FilterDatabase_1">0</definedName>
    <definedName name="Excel_BuiltIn__FilterDatabase_2">#REF!</definedName>
    <definedName name="Excel_BuiltIn_Print_Area_1">#REF!</definedName>
    <definedName name="Excel_BuiltIn_Print_Area_1_1" localSheetId="1">'FISICO FINANCEIRO'!$A$1:$H$288</definedName>
    <definedName name="Excel_BuiltIn_Print_Area_1_1">PLANILHA!$A$1:$H$252</definedName>
    <definedName name="Excel_BuiltIn_Print_Area_1_1_1" localSheetId="1">'FISICO FINANCEIRO'!$A$1:$H$288</definedName>
    <definedName name="Excel_BuiltIn_Print_Area_1_1_1">PLANILHA!$A$1:$H$252</definedName>
    <definedName name="Excel_BuiltIn_Print_Area_1_1_1_1">0</definedName>
    <definedName name="Excel_BuiltIn_Print_Area_1_1_1_1_1">#REF!</definedName>
    <definedName name="Excel_BuiltIn_Print_Area_2">#REF!</definedName>
    <definedName name="Excel_BuiltIn_Print_Area_2_1">#REF!</definedName>
    <definedName name="Excel_BuiltIn_Print_Area_2_1_1">0</definedName>
    <definedName name="Excel_BuiltIn_Print_Area_2_1_2">0</definedName>
    <definedName name="Excel_BuiltIn_Print_Area_3_1">#REF!</definedName>
    <definedName name="Excel_BuiltIn_Print_Area_3_1_1">#REF!</definedName>
    <definedName name="Excel_BuiltIn_Print_Area_3_1_1_1">0</definedName>
    <definedName name="Excel_BuiltIn_Print_Area_3_1_1_2">0</definedName>
    <definedName name="Excel_BuiltIn_Print_Area_4_1">#REF!</definedName>
    <definedName name="Excel_BuiltIn_Print_Area_4_1_1">0</definedName>
    <definedName name="Excel_BuiltIn_Print_Area_7">#REF!</definedName>
    <definedName name="Excel_BuiltIn_Print_Titles_1_1" localSheetId="1">'FISICO FINANCEIRO'!$1:$34</definedName>
    <definedName name="Excel_BuiltIn_Print_Titles_1_1">PLANILHA!$1:$10</definedName>
    <definedName name="Excel_BuiltIn_Print_Titles_1_1_1" localSheetId="1">'FISICO FINANCEIRO'!$1:$34</definedName>
    <definedName name="Excel_BuiltIn_Print_Titles_1_1_1">PLANILHA!$1:$10</definedName>
    <definedName name="Excel_BuiltIn_Print_Titles_4">#REF!</definedName>
    <definedName name="Excel_BuiltIn_Print_Titles_4_1">0</definedName>
    <definedName name="Excel_BuiltIn_Print_Titles_5">#REF!</definedName>
    <definedName name="Excel_BuiltIn_Print_Titles_5_1">#REF!</definedName>
    <definedName name="Excel_BuiltIn_Print_Titles_5_1_1">0</definedName>
    <definedName name="Excel_BuiltIn_Print_Titles_5_1_2">0</definedName>
    <definedName name="Excel_BuiltIn_Print_Titles_6">#REF!</definedName>
    <definedName name="Excel_BuiltIn_Print_Titles_6_1">0</definedName>
    <definedName name="Excel_BuiltIn_Print_Titles_6_2">#REF!</definedName>
    <definedName name="Excel_BuiltIn_Print_Titles_6_2_1">0</definedName>
    <definedName name="Excel_BuiltIn_Print_Titles_6_4">#REF!</definedName>
    <definedName name="Excel_BuiltIn_Print_Titles_6_4_1">0</definedName>
    <definedName name="Excel_BuiltIn_Print_Titles_6_5">#REF!</definedName>
    <definedName name="Excel_BuiltIn_Print_Titles_6_5_1">0</definedName>
    <definedName name="FDE">#REF!</definedName>
    <definedName name="IMPRESSÃO">#REF!</definedName>
    <definedName name="J">#N/A</definedName>
    <definedName name="Orçamento">#N/A</definedName>
    <definedName name="plan6">#REF!</definedName>
    <definedName name="plan6_1">0</definedName>
    <definedName name="PREÇO">#N/A</definedName>
    <definedName name="rtt">#REF!</definedName>
    <definedName name="TESTE">#REF!</definedName>
    <definedName name="TESTE_1">0</definedName>
    <definedName name="teste2">#REF!</definedName>
    <definedName name="teste2_1">0</definedName>
    <definedName name="_xlnm.Print_Titles" localSheetId="1">'FISICO FINANCEIRO'!$1:$34</definedName>
    <definedName name="_xlnm.Print_Titles" localSheetId="0">PLANILHA!$1:$10</definedName>
    <definedName name="tt">#REF!</definedName>
    <definedName name="x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6" l="1"/>
  <c r="U29" i="6"/>
  <c r="S29" i="6"/>
  <c r="Q29" i="6"/>
  <c r="O29" i="6"/>
  <c r="M29" i="6"/>
  <c r="K29" i="6"/>
  <c r="I29" i="6"/>
  <c r="U27" i="6"/>
  <c r="S27" i="6"/>
  <c r="Q27" i="6"/>
  <c r="O27" i="6"/>
  <c r="M27" i="6"/>
  <c r="K27" i="6"/>
  <c r="I27" i="6"/>
  <c r="G27" i="6"/>
  <c r="E27" i="6"/>
  <c r="D29" i="6"/>
  <c r="G29" i="6"/>
  <c r="E29" i="6"/>
  <c r="C29" i="6"/>
  <c r="W27" i="6"/>
  <c r="C27" i="6"/>
  <c r="C26" i="6"/>
  <c r="C25" i="6"/>
  <c r="C24" i="6"/>
  <c r="C23" i="6"/>
  <c r="B27" i="6"/>
  <c r="B26" i="6"/>
  <c r="B25" i="6"/>
  <c r="B24" i="6"/>
  <c r="B21" i="6"/>
  <c r="B20" i="6"/>
  <c r="C22" i="6"/>
  <c r="C21" i="6"/>
  <c r="C20" i="6"/>
  <c r="C19" i="6"/>
  <c r="C18" i="6"/>
  <c r="C17" i="6"/>
  <c r="C16" i="6"/>
  <c r="C15" i="6"/>
  <c r="C14" i="6"/>
  <c r="C13" i="6"/>
  <c r="C12" i="6"/>
  <c r="C11" i="6"/>
  <c r="Z27" i="6"/>
  <c r="B23" i="6"/>
  <c r="B22" i="6"/>
  <c r="B19" i="6"/>
  <c r="B18" i="6"/>
  <c r="B17" i="6"/>
  <c r="B16" i="6"/>
  <c r="B15" i="6"/>
  <c r="B14" i="6"/>
  <c r="B13" i="6"/>
  <c r="B11" i="6"/>
  <c r="H406" i="4"/>
  <c r="H348" i="4"/>
  <c r="H347" i="4"/>
  <c r="H346" i="4"/>
  <c r="H228" i="4"/>
  <c r="H219" i="4"/>
  <c r="H403" i="4" l="1"/>
  <c r="H402" i="4"/>
  <c r="H401" i="4"/>
  <c r="H400" i="4"/>
  <c r="H399" i="4"/>
  <c r="H398" i="4"/>
  <c r="H397" i="4"/>
  <c r="H396" i="4"/>
  <c r="H395" i="4"/>
  <c r="H394" i="4"/>
  <c r="H392" i="4"/>
  <c r="H391" i="4"/>
  <c r="E390" i="4"/>
  <c r="H390" i="4" s="1"/>
  <c r="H389" i="4"/>
  <c r="H388" i="4"/>
  <c r="H387" i="4"/>
  <c r="H386" i="4"/>
  <c r="H385" i="4"/>
  <c r="H384" i="4"/>
  <c r="H404" i="4" l="1"/>
  <c r="B12" i="6" l="1"/>
  <c r="H350" i="4"/>
  <c r="H351" i="4"/>
  <c r="H352" i="4"/>
  <c r="H353" i="4"/>
  <c r="H354" i="4"/>
  <c r="H355" i="4"/>
  <c r="H375" i="4"/>
  <c r="H374" i="4"/>
  <c r="H371" i="4"/>
  <c r="F77" i="4"/>
  <c r="F76" i="4"/>
  <c r="F75" i="4"/>
  <c r="F74" i="4"/>
  <c r="F73" i="4"/>
  <c r="F72" i="4"/>
  <c r="F71" i="4"/>
  <c r="F70" i="4"/>
  <c r="F69" i="4"/>
  <c r="F68" i="4"/>
  <c r="F66" i="4"/>
  <c r="F65" i="4"/>
  <c r="F64" i="4"/>
  <c r="F63" i="4"/>
  <c r="F62" i="4"/>
  <c r="F61" i="4"/>
  <c r="F60" i="4"/>
  <c r="F59" i="4"/>
  <c r="F5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H14" i="4"/>
  <c r="H15" i="4"/>
  <c r="H16" i="4"/>
  <c r="H17" i="4"/>
  <c r="H13" i="4"/>
  <c r="H376" i="4" l="1"/>
  <c r="H18" i="4"/>
  <c r="H22" i="4" l="1"/>
  <c r="H23" i="4"/>
  <c r="H24" i="4"/>
  <c r="H25" i="4"/>
  <c r="H26" i="4"/>
  <c r="H27" i="4"/>
  <c r="H28" i="4"/>
  <c r="H29" i="4"/>
  <c r="H30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51" i="4"/>
  <c r="H52" i="4"/>
  <c r="H53" i="4"/>
  <c r="H54" i="4"/>
  <c r="H55" i="4"/>
  <c r="H56" i="4"/>
  <c r="H58" i="4"/>
  <c r="H59" i="4"/>
  <c r="H60" i="4"/>
  <c r="H61" i="4"/>
  <c r="H62" i="4"/>
  <c r="H63" i="4"/>
  <c r="H64" i="4"/>
  <c r="H65" i="4"/>
  <c r="H66" i="4"/>
  <c r="H68" i="4"/>
  <c r="H69" i="4"/>
  <c r="H70" i="4"/>
  <c r="H71" i="4"/>
  <c r="H72" i="4"/>
  <c r="H73" i="4"/>
  <c r="H74" i="4"/>
  <c r="H75" i="4"/>
  <c r="H76" i="4"/>
  <c r="H77" i="4"/>
  <c r="H81" i="4"/>
  <c r="H82" i="4"/>
  <c r="H83" i="4"/>
  <c r="H84" i="4"/>
  <c r="H85" i="4"/>
  <c r="H86" i="4"/>
  <c r="H88" i="4"/>
  <c r="H89" i="4"/>
  <c r="H91" i="4"/>
  <c r="H95" i="4"/>
  <c r="H96" i="4"/>
  <c r="H97" i="4"/>
  <c r="H99" i="4"/>
  <c r="H100" i="4"/>
  <c r="H102" i="4"/>
  <c r="H103" i="4"/>
  <c r="H104" i="4"/>
  <c r="H107" i="4"/>
  <c r="H108" i="4"/>
  <c r="H109" i="4"/>
  <c r="H113" i="4"/>
  <c r="H114" i="4"/>
  <c r="H115" i="4"/>
  <c r="H117" i="4"/>
  <c r="H118" i="4"/>
  <c r="H119" i="4"/>
  <c r="H120" i="4"/>
  <c r="H121" i="4"/>
  <c r="H122" i="4"/>
  <c r="H123" i="4"/>
  <c r="H125" i="4"/>
  <c r="H127" i="4"/>
  <c r="H128" i="4"/>
  <c r="H129" i="4"/>
  <c r="H130" i="4"/>
  <c r="H134" i="4"/>
  <c r="H135" i="4"/>
  <c r="H136" i="4"/>
  <c r="H138" i="4"/>
  <c r="H140" i="4"/>
  <c r="H141" i="4"/>
  <c r="H143" i="4"/>
  <c r="H145" i="4"/>
  <c r="H148" i="4"/>
  <c r="H149" i="4"/>
  <c r="H150" i="4"/>
  <c r="H151" i="4"/>
  <c r="H153" i="4"/>
  <c r="H154" i="4"/>
  <c r="H156" i="4"/>
  <c r="H157" i="4"/>
  <c r="H161" i="4"/>
  <c r="H162" i="4"/>
  <c r="H164" i="4"/>
  <c r="H166" i="4"/>
  <c r="H167" i="4"/>
  <c r="H168" i="4"/>
  <c r="H169" i="4"/>
  <c r="H170" i="4"/>
  <c r="H171" i="4"/>
  <c r="H172" i="4"/>
  <c r="H174" i="4"/>
  <c r="H175" i="4"/>
  <c r="H176" i="4"/>
  <c r="H177" i="4"/>
  <c r="H178" i="4"/>
  <c r="H179" i="4"/>
  <c r="H180" i="4"/>
  <c r="H181" i="4"/>
  <c r="H182" i="4"/>
  <c r="H183" i="4"/>
  <c r="H184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20" i="4"/>
  <c r="H221" i="4"/>
  <c r="H222" i="4"/>
  <c r="H223" i="4"/>
  <c r="H224" i="4"/>
  <c r="H225" i="4"/>
  <c r="H226" i="4"/>
  <c r="H227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9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59" i="4"/>
  <c r="H360" i="4"/>
  <c r="H361" i="4"/>
  <c r="H362" i="4"/>
  <c r="H363" i="4"/>
  <c r="H364" i="4"/>
  <c r="H365" i="4"/>
  <c r="H366" i="4"/>
  <c r="H367" i="4"/>
  <c r="H369" i="4"/>
  <c r="H370" i="4"/>
  <c r="H379" i="4"/>
  <c r="H380" i="4"/>
  <c r="H407" i="4"/>
  <c r="H408" i="4" s="1"/>
  <c r="H21" i="4"/>
  <c r="H20" i="4"/>
  <c r="Z26" i="6"/>
  <c r="O26" i="6" l="1"/>
  <c r="H185" i="4"/>
  <c r="H158" i="4"/>
  <c r="H372" i="4"/>
  <c r="H290" i="4"/>
  <c r="H356" i="4"/>
  <c r="H110" i="4"/>
  <c r="H381" i="4"/>
  <c r="H131" i="4"/>
  <c r="H105" i="4"/>
  <c r="H92" i="4"/>
  <c r="H78" i="4"/>
  <c r="H48" i="4"/>
  <c r="H31" i="4"/>
  <c r="G26" i="6"/>
  <c r="W25" i="6"/>
  <c r="W23" i="6"/>
  <c r="W22" i="6"/>
  <c r="W21" i="6"/>
  <c r="G20" i="6"/>
  <c r="G19" i="6"/>
  <c r="G18" i="6"/>
  <c r="W17" i="6"/>
  <c r="W16" i="6"/>
  <c r="W15" i="6"/>
  <c r="W14" i="6"/>
  <c r="W13" i="6"/>
  <c r="G11" i="6"/>
  <c r="G12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AA27" i="6" l="1"/>
  <c r="H409" i="4"/>
  <c r="H410" i="4" s="1"/>
  <c r="K12" i="6"/>
  <c r="S12" i="6"/>
  <c r="K20" i="6"/>
  <c r="S20" i="6"/>
  <c r="M12" i="6"/>
  <c r="U12" i="6"/>
  <c r="E12" i="6"/>
  <c r="M20" i="6"/>
  <c r="U20" i="6"/>
  <c r="E20" i="6"/>
  <c r="O12" i="6"/>
  <c r="W12" i="6"/>
  <c r="G14" i="6"/>
  <c r="O20" i="6"/>
  <c r="W20" i="6"/>
  <c r="I12" i="6"/>
  <c r="Q12" i="6"/>
  <c r="I20" i="6"/>
  <c r="Q20" i="6"/>
  <c r="E18" i="6"/>
  <c r="E26" i="6"/>
  <c r="I18" i="6"/>
  <c r="I26" i="6"/>
  <c r="K18" i="6"/>
  <c r="K26" i="6"/>
  <c r="M18" i="6"/>
  <c r="M26" i="6"/>
  <c r="O18" i="6"/>
  <c r="Q18" i="6"/>
  <c r="Q26" i="6"/>
  <c r="S18" i="6"/>
  <c r="S26" i="6"/>
  <c r="U18" i="6"/>
  <c r="U26" i="6"/>
  <c r="W18" i="6"/>
  <c r="W26" i="6"/>
  <c r="E11" i="6"/>
  <c r="E19" i="6"/>
  <c r="G13" i="6"/>
  <c r="G21" i="6"/>
  <c r="I11" i="6"/>
  <c r="I19" i="6"/>
  <c r="K11" i="6"/>
  <c r="K19" i="6"/>
  <c r="M11" i="6"/>
  <c r="M19" i="6"/>
  <c r="O11" i="6"/>
  <c r="O19" i="6"/>
  <c r="Q11" i="6"/>
  <c r="Q19" i="6"/>
  <c r="S11" i="6"/>
  <c r="S19" i="6"/>
  <c r="U11" i="6"/>
  <c r="U19" i="6"/>
  <c r="W11" i="6"/>
  <c r="W19" i="6"/>
  <c r="G22" i="6"/>
  <c r="E13" i="6"/>
  <c r="E21" i="6"/>
  <c r="G15" i="6"/>
  <c r="G23" i="6"/>
  <c r="I13" i="6"/>
  <c r="I21" i="6"/>
  <c r="K13" i="6"/>
  <c r="K21" i="6"/>
  <c r="M13" i="6"/>
  <c r="M21" i="6"/>
  <c r="O13" i="6"/>
  <c r="O21" i="6"/>
  <c r="Q13" i="6"/>
  <c r="Q21" i="6"/>
  <c r="S13" i="6"/>
  <c r="S21" i="6"/>
  <c r="U13" i="6"/>
  <c r="U21" i="6"/>
  <c r="E14" i="6"/>
  <c r="E22" i="6"/>
  <c r="G16" i="6"/>
  <c r="G24" i="6"/>
  <c r="I14" i="6"/>
  <c r="I22" i="6"/>
  <c r="K14" i="6"/>
  <c r="K22" i="6"/>
  <c r="M14" i="6"/>
  <c r="M22" i="6"/>
  <c r="O14" i="6"/>
  <c r="O22" i="6"/>
  <c r="Q14" i="6"/>
  <c r="Q22" i="6"/>
  <c r="S14" i="6"/>
  <c r="S22" i="6"/>
  <c r="U14" i="6"/>
  <c r="U22" i="6"/>
  <c r="E15" i="6"/>
  <c r="E23" i="6"/>
  <c r="G17" i="6"/>
  <c r="G25" i="6"/>
  <c r="I15" i="6"/>
  <c r="I23" i="6"/>
  <c r="K15" i="6"/>
  <c r="K23" i="6"/>
  <c r="M15" i="6"/>
  <c r="M23" i="6"/>
  <c r="O15" i="6"/>
  <c r="O23" i="6"/>
  <c r="Q15" i="6"/>
  <c r="Q23" i="6"/>
  <c r="S15" i="6"/>
  <c r="S23" i="6"/>
  <c r="U15" i="6"/>
  <c r="U23" i="6"/>
  <c r="E16" i="6"/>
  <c r="E24" i="6"/>
  <c r="I16" i="6"/>
  <c r="I24" i="6"/>
  <c r="K16" i="6"/>
  <c r="K24" i="6"/>
  <c r="M16" i="6"/>
  <c r="M24" i="6"/>
  <c r="O16" i="6"/>
  <c r="O24" i="6"/>
  <c r="Q16" i="6"/>
  <c r="Q24" i="6"/>
  <c r="S16" i="6"/>
  <c r="S24" i="6"/>
  <c r="U16" i="6"/>
  <c r="U24" i="6"/>
  <c r="W24" i="6"/>
  <c r="E17" i="6"/>
  <c r="E25" i="6"/>
  <c r="I17" i="6"/>
  <c r="I25" i="6"/>
  <c r="K17" i="6"/>
  <c r="K25" i="6"/>
  <c r="M17" i="6"/>
  <c r="M25" i="6"/>
  <c r="O17" i="6"/>
  <c r="O25" i="6"/>
  <c r="Q17" i="6"/>
  <c r="Q25" i="6"/>
  <c r="S17" i="6"/>
  <c r="S25" i="6"/>
  <c r="U17" i="6"/>
  <c r="U25" i="6"/>
  <c r="AA15" i="6" l="1"/>
  <c r="D27" i="6"/>
  <c r="AA12" i="6"/>
  <c r="F29" i="6"/>
  <c r="AA14" i="6"/>
  <c r="AA19" i="6"/>
  <c r="AA26" i="6"/>
  <c r="AA22" i="6"/>
  <c r="AA11" i="6"/>
  <c r="AA18" i="6"/>
  <c r="AA25" i="6"/>
  <c r="AA21" i="6"/>
  <c r="AA17" i="6"/>
  <c r="AA24" i="6"/>
  <c r="AA13" i="6"/>
  <c r="AA20" i="6"/>
  <c r="AA16" i="6"/>
  <c r="AA23" i="6"/>
  <c r="D18" i="6"/>
  <c r="D26" i="6"/>
  <c r="D14" i="6"/>
  <c r="D15" i="6"/>
  <c r="D16" i="6"/>
  <c r="D19" i="6"/>
  <c r="D21" i="6"/>
  <c r="D22" i="6"/>
  <c r="D24" i="6"/>
  <c r="D25" i="6"/>
  <c r="D12" i="6"/>
  <c r="D20" i="6"/>
  <c r="D13" i="6"/>
  <c r="D23" i="6"/>
  <c r="D17" i="6"/>
  <c r="D11" i="6"/>
  <c r="N29" i="6"/>
  <c r="T29" i="6"/>
  <c r="R29" i="6"/>
  <c r="J29" i="6"/>
  <c r="V29" i="6"/>
  <c r="X29" i="6"/>
  <c r="P29" i="6"/>
  <c r="L29" i="6"/>
  <c r="G31" i="6" l="1"/>
  <c r="H29" i="6"/>
  <c r="AA29" i="6"/>
  <c r="E31" i="6"/>
  <c r="E32" i="6" s="1"/>
  <c r="G32" i="6" s="1"/>
  <c r="F31" i="6"/>
  <c r="F32" i="6" s="1"/>
  <c r="M31" i="6"/>
  <c r="T31" i="6"/>
  <c r="S31" i="6"/>
  <c r="P31" i="6"/>
  <c r="O31" i="6"/>
  <c r="V31" i="6"/>
  <c r="U31" i="6"/>
  <c r="X31" i="6"/>
  <c r="W31" i="6"/>
  <c r="K31" i="6"/>
  <c r="R31" i="6"/>
  <c r="Q31" i="6"/>
  <c r="I31" i="6"/>
  <c r="J31" i="6"/>
  <c r="N31" i="6"/>
  <c r="I32" i="6" l="1"/>
  <c r="K32" i="6" s="1"/>
  <c r="M32" i="6" s="1"/>
  <c r="O32" i="6" s="1"/>
  <c r="Q32" i="6" s="1"/>
  <c r="S32" i="6" s="1"/>
  <c r="U32" i="6" s="1"/>
  <c r="W32" i="6" s="1"/>
  <c r="H31" i="6"/>
  <c r="H32" i="6" s="1"/>
  <c r="J32" i="6" s="1"/>
  <c r="L31" i="6"/>
  <c r="L32" i="6" l="1"/>
  <c r="N32" i="6" s="1"/>
  <c r="P32" i="6" s="1"/>
  <c r="R32" i="6" s="1"/>
  <c r="T32" i="6" s="1"/>
  <c r="V32" i="6" s="1"/>
</calcChain>
</file>

<file path=xl/sharedStrings.xml><?xml version="1.0" encoding="utf-8"?>
<sst xmlns="http://schemas.openxmlformats.org/spreadsheetml/2006/main" count="1571" uniqueCount="866">
  <si>
    <t>ITEM</t>
  </si>
  <si>
    <t>ESTRUTURA</t>
  </si>
  <si>
    <t>IMPERMEABILIZAÇÃO</t>
  </si>
  <si>
    <t>INSTALAÇÕES ELÉTRICAS</t>
  </si>
  <si>
    <t>PINTURA</t>
  </si>
  <si>
    <r>
      <t>MOEDA:</t>
    </r>
    <r>
      <rPr>
        <b/>
        <sz val="10"/>
        <rFont val="Arial"/>
        <family val="2"/>
      </rPr>
      <t xml:space="preserve"> REAL</t>
    </r>
  </si>
  <si>
    <t>ESQUADRIAS</t>
  </si>
  <si>
    <t>DESCRIÇÃO DOS SERVIÇOS</t>
  </si>
  <si>
    <t>QUANT.</t>
  </si>
  <si>
    <t>UN.</t>
  </si>
  <si>
    <t>UNIT. (R$)</t>
  </si>
  <si>
    <t>TOTAL (R$)</t>
  </si>
  <si>
    <t>PLANILHA ORÇAMENTÁRIA</t>
  </si>
  <si>
    <t xml:space="preserve">OBJETO: </t>
  </si>
  <si>
    <r>
      <rPr>
        <b/>
        <sz val="34"/>
        <rFont val="Kunstler Script"/>
        <family val="4"/>
      </rPr>
      <t>Prefeitura Municipal de São Vicente</t>
    </r>
    <r>
      <rPr>
        <b/>
        <sz val="14"/>
        <rFont val="Arial"/>
        <family val="2"/>
      </rPr>
      <t xml:space="preserve">
</t>
    </r>
    <r>
      <rPr>
        <b/>
        <sz val="11"/>
        <rFont val="Calibri"/>
        <family val="2"/>
        <scheme val="minor"/>
      </rPr>
      <t xml:space="preserve">Cidade Monumento da História Pátria
Cellula Mater da Nacionalidade
</t>
    </r>
  </si>
  <si>
    <t>____________________________________________________________</t>
  </si>
  <si>
    <t>CONSTRUÇÃO DE CAPS PORTE III</t>
  </si>
  <si>
    <t>R. DR. DONALD ALEXANDRE KEALMAN, 235 - JARDIM RIO BRANCO, SÃO VICENTE - SP</t>
  </si>
  <si>
    <t>DATA: DEZEMBRO/2024</t>
  </si>
  <si>
    <t>COBERTURA</t>
  </si>
  <si>
    <t>FONTE</t>
  </si>
  <si>
    <t>Limpeza final da obra</t>
  </si>
  <si>
    <t>M²</t>
  </si>
  <si>
    <t>SINAPI</t>
  </si>
  <si>
    <t>M</t>
  </si>
  <si>
    <t>ESCAVAÇÃO MANUAL DE VALA. AF_09/2024</t>
  </si>
  <si>
    <t>REATERRO MANUAL DE VALAS, COM COMPACTADOR DE SOLOS DE PERCUSSÃO. AF_08/2023</t>
  </si>
  <si>
    <t>UN</t>
  </si>
  <si>
    <t>RUFO EM CHAPA DE AÇO GALVANIZADO NÚMERO 24, CORTE DE 25 CM, INCLUSO TRANSPORTE VERTICAL. AF_07/2019</t>
  </si>
  <si>
    <t>PEITORIL LINEAR EM GRANITO OU MÁRMORE, L = 15CM, COMPRIMENTO DE ATÉ 2M, ASSENTADO COM ARGAMASSA 1:6 COM ADITIVO. AF_11/2020</t>
  </si>
  <si>
    <t>TANQUE DE LOUÇA BRANCA COM COLUNA, 30L OU EQUIVALENTE, INCLUSO SIFÃO FLEXÍVEL EM PVC, VÁLVULA METÁLICA E TORNEIRA DE METAL CROMADO PADRÃO MÉDIO - FORNECIMENTO E INSTALAÇÃO. AF_01/2020</t>
  </si>
  <si>
    <t>55.01.020</t>
  </si>
  <si>
    <t>KG</t>
  </si>
  <si>
    <t>ARMAÇÃO DE PILAR OU VIGA DE ESTRUTURA CONVENCIONAL DE CONCRETO ARMADO UTILIZANDO AÇO CA-50 DE 8,0 MM - MONTAGEM. AF_06/2022</t>
  </si>
  <si>
    <t>IMPERMEABILIZAÇÃO DE SUPERFÍCIE COM ARGAMASSA POLIMÉRICA / MEMBRANA ACRÍLICA, 3 DEMÃOS. AF_09/2023</t>
  </si>
  <si>
    <t>18.11.022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</si>
  <si>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</si>
  <si>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</si>
  <si>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</si>
  <si>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</si>
  <si>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</si>
  <si>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</si>
  <si>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</si>
  <si>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</si>
  <si>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R$</t>
  </si>
  <si>
    <t>%</t>
  </si>
  <si>
    <t>SERVIÇO</t>
  </si>
  <si>
    <t>VALORES</t>
  </si>
  <si>
    <t>MÊS 1</t>
  </si>
  <si>
    <t>MÊS 2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</si>
  <si>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</si>
  <si>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</si>
  <si>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</si>
  <si>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</si>
  <si>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</si>
  <si>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</si>
  <si>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</si>
  <si>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</si>
  <si>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</si>
  <si>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</si>
  <si>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</si>
  <si>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</si>
  <si>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</si>
  <si>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</si>
  <si>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</si>
  <si>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SUB-TOTAIS</t>
  </si>
  <si>
    <t>MEDIÇÕES MENSAIS</t>
  </si>
  <si>
    <t>PREVISTO / ACUMULADO</t>
  </si>
  <si>
    <t>16.0</t>
  </si>
  <si>
    <t>CRONOGRAMA - FÍSICO FINANCEIRO</t>
  </si>
  <si>
    <t>Prefeitura Municipal de São Vicente</t>
  </si>
  <si>
    <t>Cidade Monumento da História Pátria
Cellula Mater da Nacionalidade</t>
  </si>
  <si>
    <t>QUADRO DE DISTRIBUIÇÃO DE ENERGIA EM CHAPA DE AÇO GALVANIZADO, DE EMBUTIR, COM BARRAMENTO TRIFÁSICO, PARA 30 DISJUNTORES DIN 150A - FORNECIMENTO E INSTALAÇÃO. AF_10/2020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</si>
  <si>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</si>
  <si>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</si>
  <si>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BANCO ARTICULADO, EM ACO INOX, PARA PCD, FIXADO NA PAREDE - FORNECIMENTO E INSTALAÇÃO. AF_01/2020</t>
  </si>
  <si>
    <t xml:space="preserve">                        TABELA SINAPI - SEM DESONERAÇÃO - 12/2024</t>
  </si>
  <si>
    <r>
      <t xml:space="preserve">REFERÊNCIA: </t>
    </r>
    <r>
      <rPr>
        <b/>
        <sz val="12"/>
        <rFont val="Arial"/>
        <family val="2"/>
      </rPr>
      <t>Boletim CDHU nº195/2024</t>
    </r>
  </si>
  <si>
    <r>
      <t xml:space="preserve">BDI: </t>
    </r>
    <r>
      <rPr>
        <b/>
        <sz val="12"/>
        <rFont val="Arial"/>
        <family val="2"/>
      </rPr>
      <t>25%</t>
    </r>
  </si>
  <si>
    <t>LOUÇAS</t>
  </si>
  <si>
    <t>ACESSÓRIOS</t>
  </si>
  <si>
    <t>SERVIÇOS COMPLEMENTARES</t>
  </si>
  <si>
    <t xml:space="preserve">                       TABELA SINAPI - SEM DESONERAÇÃO - 12/2024</t>
  </si>
  <si>
    <t>DISJUNTOR BIPOLAR TIPO DIN, CORRENTE NOMINAL DE 10A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</si>
  <si>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</si>
  <si>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</si>
  <si>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DISJUNTOR BIPOLAR TIPO DIN, CORRENTE NOMINAL DE 32A - FORNECIMENTO E INSTALAÇÃO. AF_10/2020</t>
  </si>
  <si>
    <t>FORNECIMENTO E INSTALAÇÃO DE PLACA DE OBRA COM CHAPA GALVANIZADA E ESTRUTURA DE MADEIRA. AF_03/2022_PS</t>
  </si>
  <si>
    <t>m</t>
  </si>
  <si>
    <t>PISO PODOTÁTIL DE ALERTA OU DIRECIONAL, DE CONCRETO, ASSENTADO SOBRE ARGAMASSA. AF_03/2024</t>
  </si>
  <si>
    <t>Tampo/bancada em granito, com frontão, espessura de 2 cm,
acabamento polido</t>
  </si>
  <si>
    <t>CUBA DE EMBUTIR RETANGULAR DE AÇO INOXIDÁVEL, 46 X 30 X 12 CM - FORNECIMENTO E INSTALAÇÃO. AF_01/2020</t>
  </si>
  <si>
    <t>Responsável Técnico: Yuná Faro Gervásio
CAU: A249104-4</t>
  </si>
  <si>
    <t>SERVIÇOS PRELIMINARES E INDIRETOS</t>
  </si>
  <si>
    <t xml:space="preserve"> 02.02.150 </t>
  </si>
  <si>
    <t>CPOS/CDHU</t>
  </si>
  <si>
    <t>LOCAÇÃO DE CONTAINER TIPO DEPÓSITO - ÁREA MÍNIMA DE 13,80 M²</t>
  </si>
  <si>
    <t>unxmês</t>
  </si>
  <si>
    <t>02.01.021</t>
  </si>
  <si>
    <t>Construção provisória em madeira - fornecimento e montagem</t>
  </si>
  <si>
    <t>m²</t>
  </si>
  <si>
    <t>02.02.140</t>
  </si>
  <si>
    <t>Locação de container tipo sanitário com 2 vasos sanitários, 2 lavatórios,
2 mictórios e 4 pontos para chuveiro - área mínima de 13,80 m²</t>
  </si>
  <si>
    <t>02.02.120</t>
  </si>
  <si>
    <t>Locação de container tipo alojamento - área mínima de 13,80 m²</t>
  </si>
  <si>
    <t xml:space="preserve"> 95648 </t>
  </si>
  <si>
    <t>KIT CAVALETE PARA MEDIÇÃO DE ÁGUA - ENTRADA INDIVIDUALIZADA, EM CPVC DN 28 MM (1"), PARA 1 MEDIDOR - FORNECIMENTO E INSTALAÇÃO (EXCLUSIVE HIDRÔMETRO). AF_03/2024</t>
  </si>
  <si>
    <t>HIDRÔMETRO DN 1/2", 1,5 M3/H - FORNECIMENTO E INSTALAÇÃO. AF_03/2024</t>
  </si>
  <si>
    <t>ENTRADA DE ENERGIA ELÉTRICA, AÉREA, TRIFÁSICA, COM CAIXA DE EMBUTIR, CABO DE 10 MM2 E DISJUNTOR DIN 50A (NÃO INCLUSO O POSTE DE CONCRETO). AF_07/2020</t>
  </si>
  <si>
    <t xml:space="preserve"> 05.07.040 </t>
  </si>
  <si>
    <t>REMOÇÃO DE ENTULHO SEPARADO DE OBRA COM CAÇAMBA METÁLICA - TERRA, ALVENARIA, CONCRETO, ARGAMASSA, MADEIRA, PAPEL, PLÁSTICO OU METAL</t>
  </si>
  <si>
    <t>m³</t>
  </si>
  <si>
    <t>TAPUME COM TELHA METÁLICA. AF_03/2024</t>
  </si>
  <si>
    <t>02.05.212</t>
  </si>
  <si>
    <t>Andaime tubular fachadeiro com piso metálico e sapatas ajustáveis</t>
  </si>
  <si>
    <t>M2XMÊS</t>
  </si>
  <si>
    <t>FUNDAÇÃO</t>
  </si>
  <si>
    <t>LOCAÇÃO CONVENCIONAL DE OBRA, UTILIZANDO GABARITO DE TÁBUAS CORRIDAS PONTALETADAS A CADA 2,00M -  2 UTILIZAÇÕES. AF_03/2024</t>
  </si>
  <si>
    <t>ESCAVAÇÃO MECANIZADA DE VALA COM PROF. ATÉ 1,5 M (MÉDIA MONTANTE E JUSANTE/UMA COMPOSIÇÃO POR TRECHO), RETROESCAV. (0,26 M3), LARG. DE 0,8 M A 1,5 M, EM SOLO DE 1A CATEGORIA, EM LOCAIS COM ALTO NÍVEL DE INTERFERÊNCIA. AF_09/2024</t>
  </si>
  <si>
    <t>LASTRO COM MATERIAL GRANULAR (PEDRA BRITADA N.1 E PEDRA BRITADA N.2), APLICADO EM PISOS OU LAJES SOBRE SOLO, ESPESSURA DE *10 CM*. AF_01/2024</t>
  </si>
  <si>
    <t>FABRICAÇÃO, MONTAGEM E DESMONTAGEM DE FÔRMA PARA BLOCO DE COROAMENTO, EM MADEIRA SERRADA, E=25 MM, 4 UTILIZAÇÕES. AF_01/2024</t>
  </si>
  <si>
    <t>ARMAÇÃO DE BLOCO UTILIZANDO AÇO CA-60 DE 5 MM - MONTAGEM. AF_01/2024</t>
  </si>
  <si>
    <t>ARMAÇÃO DE BLOCO UTILIZANDO AÇO CA-50 DE 6,3 MM - MONTAGEM. AF_01/2024</t>
  </si>
  <si>
    <t>ARMAÇÃO DE BLOCO UTILIZANDO AÇO CA-50 DE 8 MM - MONTAGEM. AF_01/2024</t>
  </si>
  <si>
    <t>ARMAÇÃO DE BLOCO UTILIZANDO AÇO CA-50 DE 10 MM - MONTAGEM. AF_01/2024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</si>
  <si>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</si>
  <si>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</si>
  <si>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>CONCRETAGEM DE BLOCO DE COROAMENTO OU VIGA BALDRAME, FCK 30 MPA, COM USO DE BOMBA - LANÇAMENTO, ADENSAMENTO E ACABAMENTO. AF_01/2024</t>
  </si>
  <si>
    <t>ESPALHAMENTO DE MATERIAL COM TRATOR DE ESTEIRAS. AF_09/2024</t>
  </si>
  <si>
    <t>IMPERMEABILIZAÇÃO DE SUPERFÍCIE COM EMULSÃO ASFÁLTICA, 2 DEMÃOS. AF_09/2023</t>
  </si>
  <si>
    <t>PILARES</t>
  </si>
  <si>
    <t>MONTAGEM E DESMONTAGEM DE FÔRMA DE PILARES RETANGULARES E ESTRUTURAS SIMILARES, PÉ-DIREITO SIMPLES, EM CHAPA DE MADEIRA COMPENSADA RESINADA, 6 UTILIZAÇÕES. AF_09/2020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</si>
  <si>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</si>
  <si>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</si>
  <si>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</si>
  <si>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ARMAÇÃO DE PILAR OU VIGA DE ESTRUTURA CONVENCIONAL DE CONCRETO ARMADO UTILIZANDO AÇO CA-60 DE 5,0 MM - MONTAGEM. AF_06/2022</t>
  </si>
  <si>
    <t>VIGAS</t>
  </si>
  <si>
    <t>MONTAGEM E DESMONTAGEM DE FÔRMA DE VIGA, ESCORAMENTO METÁLICO, PÉ-DIREITO SIMPLES, EM CHAPA DE MADEIRA RESINADA, 6 UTILIZAÇÕES. AF_09/2020</t>
  </si>
  <si>
    <t>ARMAÇÃO DE PILAR OU VIGA DE ESTRUTURA CONVENCIONAL DE CONCRETO ARMADO UTILIZANDO AÇO CA-50 DE 6,3 MM - MONTAGEM. AF_06/2022</t>
  </si>
  <si>
    <t>ARMAÇÃO DE PILAR OU VIGA DE ESTRUTURA CONVENCIONAL DE CONCRETO ARMADO UTILIZANDO AÇO CA-50 DE 20,0 MM - MONTAGEM. AF_06/2022</t>
  </si>
  <si>
    <t>LAJES</t>
  </si>
  <si>
    <t>MONTAGEM E DESMONTAGEM DE FÔRMA DE LAJE MACIÇA, PÉ-DIREITO DUPLO, EM CHAPA DE MADEIRA COMPENSADA RESINADA, 6 UTILIZAÇÕES. AF_09/2020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</si>
  <si>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</si>
  <si>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</si>
  <si>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</si>
  <si>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</si>
  <si>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16,0 MM - MONTAGEM. AF_06/2022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</si>
  <si>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</si>
  <si>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</si>
  <si>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</si>
  <si>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</si>
  <si>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ESCORAMENTO DE FÔRMAS DE LAJE EM MADEIRA NÃO APARELHADA, PÉ-DIREITO SIMPLES, INCLUSO TRAVAMENTO, 4 UTILIZAÇÕES. AF_09/2020</t>
  </si>
  <si>
    <t>ALVENARIA, VEDAÇÕES E DIVISÓRIAS</t>
  </si>
  <si>
    <t>ALVENARIA DE VEDAÇÃO</t>
  </si>
  <si>
    <t>ALVENARIA DE VEDAÇÃO DE BLOCOS CERÂMICOS FURADOS NA VERTICAL DE 9X19X39 CM (ESPESSURA 9 CM) E ARGAMASSA DE ASSENTAMENTO COM PREPARO EM BETONEIRA. AF_12/2021</t>
  </si>
  <si>
    <t>ALVENARIA DE VEDAÇÃO DE BLOCOS CERÂMICOS FURADOS NA VERTICAL DE 14X19X39 CM (ESPESSURA 14 CM) E ARGAMASSA DE ASSENTAMENTO COM PREPARO EM BETONEIRA. AF_12/2021</t>
  </si>
  <si>
    <t>VERGA MOLDADA IN LOCO COM UTILIZAÇÃO DE BLOCOS CANALETA, ESPESSURA DE *20* CM. AF_03/2024</t>
  </si>
  <si>
    <t>CONTRAVERGA MOLDADA IN LOCO COM UTILIZAÇÃO DE BLOCOS CANALETA, ESPESSURA DE *20* CM. AF_03/2024</t>
  </si>
  <si>
    <t>FIXAÇÃO (ENCUNHAMENTO) DE ALVENARIA DE VEDAÇÃO COM ARGAMASSA APLICADA COM TIJOLO MACIÇO. AF_03/2024</t>
  </si>
  <si>
    <t>ALVENARIA DE VEDAÇÃO COM BLOCO DE VIDRO VAZADO, TIPO VENEZIANA, DE 6X20X20CM E ARGAMASSA DE ASSENTAMENTO COM PREPARO EM BETONEIRA. AF_05/2020</t>
  </si>
  <si>
    <t>DRYWALL</t>
  </si>
  <si>
    <t>PAREDE COM SISTEMA EM CHAPAS DE GESSO PARA DRYWALL, USO INTERNO, COM DUAS FACES DUPLAS E ESTRUTURA METÁLICA COM GUIAS SIMPLES PARA PAREDES COM ÁREA LÍQUIDA MAIOR OU IGUAL A 6 M2, COM VÃOS. AF_07/2023_PS</t>
  </si>
  <si>
    <t>INSTALAÇÃO DE REFORÇO DE MADEIRA EM PAREDE DRYWALL. AF_07/2023</t>
  </si>
  <si>
    <t>DIVISÓRIAS</t>
  </si>
  <si>
    <t>DIVISORIA SANITÁRIA, TIPO CABINE, EM PAINEL DE GRANILITE, ESP = 3CM, ASSENTADO COM ARGAMASSA COLANTE AC III-E, EXCLUSIVE FERRAGENS. AF_01/2021</t>
  </si>
  <si>
    <t>ESTRUTURA TRELIÇADA DE COBERTURA, TIPO ARCO, COM LIGAÇÕES PARAFUSADAS, INCLUSOS PERFIS METÁLICOS, CHAPAS METÁLICAS, MÃO DE OBRA E TRANSPORTE COM GUINDASTE - FORNECIMENTO E INSTALAÇÃO. AF_01/2020_PSA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</si>
  <si>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</si>
  <si>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TRAMA DE MADEIRA COMPOSTA POR TERÇAS PARA TELHADOS DE ATÉ 2 ÁGUAS PARA TELHA ONDULADA DE FIBROCIMENTO, METÁLICA, PLÁSTICA OU TERMOACÚSTICA, INCLUSO TRANSPORTE VERTICAL. AF_07/2019</t>
  </si>
  <si>
    <t>TELHAMENTO</t>
  </si>
  <si>
    <t>TELHAMENTO COM TELHA ONDULADA DE FIBROCIMENTO E = 6 MM, COM RECOBRIMENTO LATERAL DE 1/4 DE ONDA PARA TELHADO COM INCLINAÇÃO MAIOR QUE 10°, COM ATÉ 2 ÁGUAS, INCLUSO IÇAMENTO. AF_07/2019</t>
  </si>
  <si>
    <t>COMPLEMENTOS</t>
  </si>
  <si>
    <t>CALHA EM CHAPA DE AÇO GALVANIZADO NÚMERO 24, DESENVOLVIMENTO DE 100 CM, INCLUSO TRANSPORTE VERTICAL. AF_07/2019</t>
  </si>
  <si>
    <t>CUMEEIRA PARA TELHA DE FIBROCIMENTO ESTRUTURAL E = 6 MM, INCLUSO ACESSÓRIOS DE FIXAÇÃO E IÇAMENTO. AF_07/2019</t>
  </si>
  <si>
    <t>IMPERMEABILIZIMPERMEABILIZAÇÃO DE SUPERFÍCIE COM ARGAMASSA POLIMÉRICA / MEMBRANA ACRÍLICA, 4 DEMÃOS, REFORÇADA COM VÉU DE POLIÉSTER (MAV). AF_09/2023</t>
  </si>
  <si>
    <t>PROTEÇÃO MECÂNICA DE SUPERFICIE HORIZONTAL COM ARGAMASSA DE CIMENTO E AREIA, TRAÇO 1:3, E=3CM. AF_09/2023</t>
  </si>
  <si>
    <t>ESQUADRIAS DE MADEIRA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</si>
  <si>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</si>
  <si>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</si>
  <si>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 xml:space="preserve"> 23.08.242 </t>
  </si>
  <si>
    <t>PORTA LISA DE CORRER SUSPENSA EM MADEIRA COM BATENTE</t>
  </si>
  <si>
    <t>ESQUADRIAS DE ALUMÍNIO</t>
  </si>
  <si>
    <t>PORTA DE ALUMÍNIO DE ABRIR COM LAMBRI, COM GUARNIÇÃO, FIXAÇÃO COM PARAFUSOS - FORNECIMENTO E INSTALAÇÃO. AF_12/2019</t>
  </si>
  <si>
    <t xml:space="preserve"> 25.02.110 </t>
  </si>
  <si>
    <t>PORTA VENEZIANA DE ABRIR EM ALUMÍNIO, SOB MEDIDA</t>
  </si>
  <si>
    <t xml:space="preserve"> 24.02.460 </t>
  </si>
  <si>
    <t>PORTA DE ABRIR EM TELA ONDULADA DE AÇO GALVANIZADO, COMPLETA</t>
  </si>
  <si>
    <t>25.02.230</t>
  </si>
  <si>
    <t>Porta em alumínio anodizado de abrir, sob medida - bronze/preto</t>
  </si>
  <si>
    <t>JANELA DE ALUMÍNIO TIPO MAXIM-AR, COM VIDROS, BATENTE E FERRAGENS. EXCLUSIVE ALIZAR, ACABAMENTO E CONTRAMARCO, FIXAÇÃO COM PARAFUSO. FORNECIMENTO E INSTALAÇÃO. AF_11/2024</t>
  </si>
  <si>
    <t>JANELA DE ALUMÍNIO DE CORRER COM 4 FOLHAS PARA VIDROS, COM VIDROS, BATENTE E FERRAGENS, EXCLUSIVE ACABAMENTO, ALIZAR E CONTRAMARCO. FIXAÇÃO COM PARAFUSO. FORNECIMENTO E INSTALAÇÃO. AF_11/2024</t>
  </si>
  <si>
    <t>JANELA DE ALUMÍNIO DE CORRER COM 2 FOLHAS PARA VIDROS, COM VIDROS, BATENTE, ACABAMENTO COM ACETATO OU BRILHANTE E FERRAGENS. EXCLUSIVE ALIZAR E CONTRAMARCO. FORNECIMENTO E INSTALAÇÃO. AF_11/2024</t>
  </si>
  <si>
    <t>ESQUADRIAS METÁLICAS</t>
  </si>
  <si>
    <t>24.02.054</t>
  </si>
  <si>
    <t>Porta corta-fogo classe P.90, com barra antipânico numa face e
maçaneta na outra, completa</t>
  </si>
  <si>
    <t xml:space="preserve"> 28.20.650 </t>
  </si>
  <si>
    <t>PUXADOR DUPLO EM AÇO INOXIDÁVEL, PARA PORTA DE MADEIRA, ALUMÍNIO OU VIDRO, DE 350 MM</t>
  </si>
  <si>
    <t>un</t>
  </si>
  <si>
    <t>30.01.020</t>
  </si>
  <si>
    <t>Barra de apoio reta, para pessoas com mobilidade reduzida, em tubo de
aço inoxidável de 1 1/2´ x 500 mm</t>
  </si>
  <si>
    <t xml:space="preserve"> 28.01.550 </t>
  </si>
  <si>
    <t>FECHADURA COM MAÇANETA TIPO ALAVANCA EM AÇO INOXIDÁVEL, PARA PORTA EXTERNA</t>
  </si>
  <si>
    <t>DOBRADIÇA EM AÇO/FERRO, 3" X 21/2", E=1,9 A 2MM, SEN ANEL, CROMADO OU ZINCADO, TAMPA BOLA, COM PARAFUSOS. AF_12/2019</t>
  </si>
  <si>
    <t>CHAPISCO APLICADO EM ALVENARIA (COM PRESENÇA DE VÃOS) E ESTRUTURAS DE CONCRETO DE FACHADA, COM COLHER DE PEDREIRO.  ARGAMASSA TRAÇO 1:3 COM PREPARO EM BETONEIRA 400L. AF_10/2022</t>
  </si>
  <si>
    <t>MASSA ÚNICA, EM ARGAMASSA TRAÇO 1:2:8 PREPARO MECÂNICO, APLICADA MANUALMENTE EM PAREDES INTERNAS DE AMBIENTES COM ÁREA MAIOR QUE 10M², E = 10MM, COM TALISCAS. AF_03/2024</t>
  </si>
  <si>
    <t>EMBOÇO, EM ARGAMASSA TRAÇO 1:2:8, PREPARO MECÂNICO, APLICADO MANUALMENTE EM PAREDES INTERNAS DE AMBIENTES COM ÁREA MAIOR QUE 10M², E = 10MM, COM TALISCAS. AF_03/2024</t>
  </si>
  <si>
    <t>Revestimento em placa cerâmica esmaltada de 10x10 cm, assentado e
rejuntado com argamassa industrializada</t>
  </si>
  <si>
    <t>EXECUÇÃO DE PASSEIO (CALÇADA) OU PISO DE CONCRETO COM CONCRETO MOLDADO IN LOCO, USINADO, ACABAMENTO CONVENCIONAL, ESPESSURA 8 CM, ARMADO. AF_08/2022</t>
  </si>
  <si>
    <t>17.01.020</t>
  </si>
  <si>
    <t xml:space="preserve"> Argamassa de regularização e/ou proteção</t>
  </si>
  <si>
    <t>EXECUÇÃO DE PASSEIO (CALÇADA) OU PISO DE CONCRETO COM CONCRETO MOLDADO IN LOCO, USINADO C20, ACABAMENTO CONVENCIONAL, NÃO ARMADO. AF_08/2022</t>
  </si>
  <si>
    <t>FORRO</t>
  </si>
  <si>
    <t>FORRO EM DRYWALL, PARA AMBIENTES COMERCIAIS, INCLUSIVE ESTRUTURA BIRECIONAL DE FIXAÇÃO. AF_08/2023_PS</t>
  </si>
  <si>
    <t>PAREDES</t>
  </si>
  <si>
    <t>FUNDO SELADOR ACRÍLICO, APLICAÇÃO MANUAL EM PAREDE, UMA DEMÃO. AF_04/2023</t>
  </si>
  <si>
    <t>EMASSAMENTO COM MASSA LÁTEX, APLICAÇÃO EM PAREDE, UMA DEMÃO, LIXAMENTO MANUAL. AF_04/2023</t>
  </si>
  <si>
    <t>APLICAÇÃO MANUAL DE MASSA ACRÍLICA EM PAREDES EXTERNAS DE CASAS, UMA DEMÃO. AF_03/2024</t>
  </si>
  <si>
    <t>PINTURA LÁTEX ACRÍLICA ECONÔMICA, APLICAÇÃO MANUAL EM PAREDES, DUAS DEMÃOS. AF_04/2023</t>
  </si>
  <si>
    <t>TETO</t>
  </si>
  <si>
    <t>EMASSAMENTO COM MASSA LÁTEX, APLICAÇÃO EM TETO, UMA DEMÃO, LIXAMENTO MANUAL. AF_04/2023</t>
  </si>
  <si>
    <t>PINTURA LÁTEX ACRÍLICA ECONÔMICA, APLICAÇÃO MANUAL EM TETO, DUAS DEMÃOS. AF_04/2023</t>
  </si>
  <si>
    <t>PINTURA FUNDO NIVELADOR ALQUÍDICO BRANCO EM MADEIRA. AF_01/2021</t>
  </si>
  <si>
    <t>PINTURA TINTA DE ACABAMENTO (PIGMENTADA) ESMALTE SINTÉTICO ACETINADO EM MADEIRA, 2 DEMÃOS. AF_01/2021</t>
  </si>
  <si>
    <t>MARMORARIA</t>
  </si>
  <si>
    <t xml:space="preserve"> 44.02.062 </t>
  </si>
  <si>
    <t>LOUÇAS, METAIS E ACESSÓRIOS</t>
  </si>
  <si>
    <t>EQUIPAMENTOS</t>
  </si>
  <si>
    <t>CHUVEIRO ELÉTRICO COMUM CORPO PLÁSTICO, TIPO DUCHA - FORNECIMENTO E INSTALAÇÃO. AF_01/2020</t>
  </si>
  <si>
    <t>VASO SANITÁRIO SIFONADO COM CAIXA ACOPLADA LOUÇA BRANCA - PADRÃO MÉDIO, INCLUSO ENGATE FLEXÍVEL EM METAL CROMADO, 1/2  X 40CM - FORNECIMENTO E INSTALAÇÃO. AF_01/2020</t>
  </si>
  <si>
    <t xml:space="preserve"> 44.01.040 </t>
  </si>
  <si>
    <t>BACIA SIFONADA COM CAIXA DE DESCARGA ACOPLADA E TAMPA - INFANTIL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</si>
  <si>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</si>
  <si>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44.01.610</t>
  </si>
  <si>
    <t>Lavatório de louça para canto, sem coluna - sem pertences</t>
  </si>
  <si>
    <t>und</t>
  </si>
  <si>
    <t>CUBA DE EMBUTIR OVAL EM LOUÇA BRANCA, 35 X 50CM OU EQUIVALENTE - FORNECIMENTO E INSTALAÇÃO. AF_01/2020</t>
  </si>
  <si>
    <t xml:space="preserve"> 44.01.850 </t>
  </si>
  <si>
    <t>CUBA DE LOUÇA DE EMBUTIR REDONDA</t>
  </si>
  <si>
    <t>METAIS E ACESSÓRIOS</t>
  </si>
  <si>
    <t xml:space="preserve"> 44.02.200 </t>
  </si>
  <si>
    <t>TAMPO/BANCADA EM CONCRETO ARMADO, REVESTIDO EM AÇO INOXIDÁVEL FOSCO POLIDO</t>
  </si>
  <si>
    <t>TORNEIRA CROMADA 1/2" OU 3/4" PARA TANQUE, PADRÃO POPULAR - FORNECIMENTO E INSTALAÇÃO. AF_01/2020</t>
  </si>
  <si>
    <t xml:space="preserve"> 44.03.300 </t>
  </si>
  <si>
    <t>TORNEIRA CLÍNICA COM VOLANTE TIPO ALAVANCA</t>
  </si>
  <si>
    <t xml:space="preserve"> 44.03.316 </t>
  </si>
  <si>
    <t>TORNEIRA MISTURADOR CLÍNICA DE MESA COM AREJADOR ARTICULADO, ACIONAMENTO COTOVELO</t>
  </si>
  <si>
    <t>44.03.645</t>
  </si>
  <si>
    <t>Torneira de mesa automática, acionamento hidromecânico, em latão cromado, DN= 1/2´ou 3/4</t>
  </si>
  <si>
    <t xml:space="preserve"> 30.01.030</t>
  </si>
  <si>
    <t>Barra de apoio reta, para pessoas com mobilidade reduzida, em tubo de aço inoxidável de 1 1/2´ x 800 mm</t>
  </si>
  <si>
    <t xml:space="preserve"> 30.01.020</t>
  </si>
  <si>
    <t>Barra de apoio reta, para pessoas com mobilidade reduzida, em tubo de aço inoxidável de 1 1/2´ x 500 mm</t>
  </si>
  <si>
    <t>BARRA DE APOIO RETA, EM ACO INOX POLIDO, COMPRIMENTO 70 CM,  FIXADA NA PAREDE - FORNECIMENTO E INSTALAÇÃO. AF_01/2020</t>
  </si>
  <si>
    <t xml:space="preserve">49.05.020 </t>
  </si>
  <si>
    <t>Ralo seco em ferro fundido, 100 x 165 x 50 mm, com grelha metálica saída vertical</t>
  </si>
  <si>
    <t>INSTALAÇÕES HIDROSSANITÁRIAS</t>
  </si>
  <si>
    <t>HIDRÁULICA</t>
  </si>
  <si>
    <t>REGISTRO DE ESFERA, PVC, ROSCÁVEL, COM VOLANTE, 1 1/2" - FORNECIMENTO E INSTALAÇÃO. AF_08/2021</t>
  </si>
  <si>
    <t>REGISTRO DE ESFERA, PVC, SOLDÁVEL, COM VOLANTE, DN  50 MM - FORNECIMENTO E INSTALAÇÃO. AF_08/2021</t>
  </si>
  <si>
    <t>ADAPTADOR CURTO COM BOLSA E ROSCA PARA REGISTRO, PVC, SOLDÁVEL, DN 50 MM X 1  1/2" , INSTALADO EM RESERVAÇÃO PREDIAL DE ÁGUA - FORNECIMENTO E INSTALAÇÃO. AF_04/2024</t>
  </si>
  <si>
    <t>TUBO, PVC, SOLDÁVEL, DN 50MM, INSTALADO EM RAMAL DE DISTRIBUIÇÃO DE ÁGUA - FORNECIMENTO E INSTALAÇÃO. AF_06/2022</t>
  </si>
  <si>
    <t>TE DE REDUÇÃO, 90 GRAUS, PVC, SOLDÁVEL, DN 50 MM X 32 MM, INSTALADO EM RAMAL DE DISTRIBUIÇÃO DE ÁGUA - FORNECIMENTO E INSTALAÇÃO. AF_06/2022</t>
  </si>
  <si>
    <t>JOELHO 45 GRAUS, PVC, SERIE NORMAL, ESGOTO PREDIAL, DN 50 MM, JUNTA ELÁSTICA,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</si>
  <si>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</si>
  <si>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TERMINAL DE VENTILAÇÃO, PVC, SÉRIE NORMAL, ESGOTO PREDIAL, DN 50 MM, JUNTA SOLDÁVEL, FORNECIDO E INSTALADO EM PRUMADA DE ESGOTO SANITÁRIO OU VENTILAÇÃO. AF_08/2022</t>
  </si>
  <si>
    <t xml:space="preserve"> 46.03.080 </t>
  </si>
  <si>
    <t>TUBO DE PVC RÍGIDO, PONTAS LISAS, SOLDÁVEL, LINHA ESGOTO SÉRIE REFORÇADA ´R´, DN= 40 MM, INCLUSIVE CONEXÕES</t>
  </si>
  <si>
    <t>TE, PVC, SERIE NORMAL, ESGOTO PREDIAL, DN 50 X 50 MM, JUNTA ELÁSTICA, FORNECIDO E INSTALADO EM PRUMADA DE ESGOTO SANITÁRIO OU VENTILAÇÃO. AF_08/2022</t>
  </si>
  <si>
    <t>TE, PVC, SERIE NORMAL, ESGOTO PREDIAL, DN 75 X 75 MM, JUNTA ELÁSTICA, FORNECIDO E INSTALADO EM PRUMADA DE ESGOTO SANITÁRIO OU VENTILAÇÃO. AF_08/2022</t>
  </si>
  <si>
    <t xml:space="preserve"> 45.03.110 </t>
  </si>
  <si>
    <t>HIDRÔMETRO EM BRONZE, DIÂMETRO DE 40 MM (1 1/2´)</t>
  </si>
  <si>
    <t>cj</t>
  </si>
  <si>
    <t>REGISTRO DE GAVETA BRUTO, LATÃO, ROSCÁVEL, 1  1/2", COM ACABAMENTO E CANOPLA CROMADOS - FORNECIMENTO E INSTALAÇÃO. AF_08/2021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</si>
  <si>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</si>
  <si>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</si>
  <si>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TUBO DE AÇO GALVANIZADO COM COSTURA, CLASSE MÉDIA, DN 40 (1  1/2"), CONEXÃO ROSQUEADA, INSTALADO EM REDE DE ALIMENTAÇÃO PARA HIDRANTE - FORNECIMENTO E INSTALAÇÃO. AF_10/2020</t>
  </si>
  <si>
    <t>TUBO DE AÇO GALVANIZADO COM COSTURA, CLASSE MÉDIA, CONEXÃO RANHURADA, DN 65 (2 1/2"), INSTALADO EM PRUMADAS - FORNECIMENTO E INSTALAÇÃO. AF_10/2020</t>
  </si>
  <si>
    <t>LUVA DE REDUÇÃO, PVC, SOLDÁVEL, DN 25MM X 20MM, INSTALADO EM RAMAL OU SUB-RAMAL DE ÁGUA - FORNECIMENTO E INSTALAÇÃO. AF_06/2022</t>
  </si>
  <si>
    <t>LUVA COM ROSCA, PVC, SOLDÁVEL, DN 50MM X 1.1/2 , INSTALADO EM PRUMADA DE ÁGUA - FORNECIMENTO E INSTALAÇÃO. AF_06/2022</t>
  </si>
  <si>
    <t>ADAPTADOR CURTO COM BOLSA E ROSCA PARA REGISTRO, PVC, SOLDÁVEL, DN  25 MM X 3/4 , INSTALADO EM RESERVAÇÃO PREDIAL DE ÁGUA FORNECIMENTO E INSTALAÇÃO. AF_04/2024</t>
  </si>
  <si>
    <t>ADAPTADOR CURTO COM BOLSA E ROSCA PARA REGISTRO, PVC, SOLDÁVEL, DN 50MM X 1.1/4", INSTALADO EM RAMAL DE DISTRIBUIÇÃO DE ÁGUA - FORNECIMENTO E INSTALAÇÃO. AF_06/2022</t>
  </si>
  <si>
    <t>BUCHA DE REDUÇÃO, LONGA, PVC, SOLDÁVEL, DN 50 X 25 MM, INSTALADO EM PRUMADA DE ÁGUA - FORNECIMENTO E INSTALAÇÃO. AF_06/2022</t>
  </si>
  <si>
    <t>CURVA 90 GRAUS, PVC, SOLDÁVEL, DN 25MM, INSTALADO EM PRUMADA DE ÁGUA - FORNECIMENTO E INSTALAÇÃO. AF_06/2022</t>
  </si>
  <si>
    <t>LUVA DE CORRER, PVC, SOLDÁVEL, DN 25MM, INSTALADO EM PRUMADA DE ÁGUA - FORNECIMENTO E INSTALAÇÃO. AF_06/2022</t>
  </si>
  <si>
    <t>LUVA DE CORRER, PVC, SOLDÁVEL, DN 50MM, INSTALADO EM PRUMADA DE ÁGUA - FORNECIMENTO E INSTALAÇÃO. AF_06/2022</t>
  </si>
  <si>
    <t>TUBO, PVC, SOLDÁVEL, DN 25MM, INSTALADO EM RAMAL OU SUB-RAMAL DE ÁGUA - FORNECIMENTO E INSTALAÇÃO. AF_06/2022</t>
  </si>
  <si>
    <t>TUBO, PVC, SOLDÁVEL, DN 40MM, INSTALADO EM PRUMADA DE ÁGUA - FORNECIMENTO E INSTALAÇÃO. AF_06/2022</t>
  </si>
  <si>
    <t>TE, PVC, SOLDÁVEL, DN 25MM, INSTALADO EM DRENO DE AR-CONDICIONADO - FORNECIMENTO E INSTALAÇÃO. AF_08/2022</t>
  </si>
  <si>
    <t>TÊ DE REDUÇÃO, PVC, SOLDÁVEL, DN 50MM X 25MM, INSTALADO EM PRUMADA DE ÁGUA - FORNECIMENTO E INSTALAÇÃO. AF_06/2022</t>
  </si>
  <si>
    <t>JOELHO 90 GRAUS COM BUCHA DE LATÃO, PVC, SOLDÁVEL, DN 25MM, X 3/4  INSTALADO EM RAMAL OU SUB-RAMAL DE ÁGUA - FORNECIMENTO E INSTALAÇÃO. AF_06/2022</t>
  </si>
  <si>
    <t>JOELHO 90 GRAUS COM BUCHA DE LATÃO, PVC, SOLDÁVEL, DN 25MM, X 1/2  INSTALADO EM RAMAL OU SUB-RAMAL DE ÁGUA - FORNECIMENTO E INSTALAÇÃO. AF_06/2022</t>
  </si>
  <si>
    <t>REGISTRO DE ESFERA, PVC, SOLDÁVEL, COM VOLANTE, DN  32 MM - FORNECIMENTO E INSTALAÇÃO. AF_08/2021</t>
  </si>
  <si>
    <t xml:space="preserve"> 47.05.100 </t>
  </si>
  <si>
    <t>VÁLVULA DE RETENÇÃO VERTICAL EM BRONZE, DN= 1´</t>
  </si>
  <si>
    <t>ADAPTADOR CURTO COM BOLSA E ROSCA PARA REGISTRO, PVC, SOLDÁVEL, DN 32MM X 1 , INSTALADO EM RAMAL DE DISTRIBUIÇÃO DE ÁGUA - FORNECIMENTO E INSTALAÇÃO. AF_06/2022</t>
  </si>
  <si>
    <t>BUCHA DE REDUÇÃO, CURTA, PVC, SOLDÁVEL, DN 32 X 25 MM, INSTALADO EM RAMAL OU SUB-RAMAL DE ÁGUA - FORNECIMENTO E INSTALAÇÃO. AF_06/2022</t>
  </si>
  <si>
    <t>CURVA 90 GRAUS, PVC, SOLDÁVEL, DN 32MM, INSTALADO EM RAMAL DE DISTRIBUIÇÃO DE ÁGUA - FORNECIMENTO E INSTALAÇÃO. AF_06/2022</t>
  </si>
  <si>
    <t>JOELHO 90 GRAUS, PVC, SOLDÁVEL, DN 32 MM, INSTALADO EM DRENO DE AR CONDICIONADO - FORNECIMENTO E INSTALAÇÃO. AF_08/2022</t>
  </si>
  <si>
    <t>TUBO, PVC, SOLDÁVEL, DN 32MM, INSTALADO EM RAMAL OU SUB-RAMAL DE ÁGUA - FORNECIMENTO E INSTALAÇÃO. AF_06/2022</t>
  </si>
  <si>
    <t>TÊ DE REDUÇÃO, PVC, SOLDÁVEL, DN 32MM X 25MM, INSTALADO EM RAMAL OU SUB-RAMAL DE ÁGUA - FORNECIMENTO E INSTALAÇÃO. AF_06/2022</t>
  </si>
  <si>
    <t>SANITÁRIA</t>
  </si>
  <si>
    <t>CAIXA ENTERRADA HIDRÁULICA RETANGULAR EM ALVENARIA COM TIJOLOS CERÂMICOS MACIÇOS, DIMENSÕES INTERNAS: 0,8X0,8X0,6 M PARA REDE DE ESGOTO. AF_12/2020</t>
  </si>
  <si>
    <t xml:space="preserve"> 49.01.020 </t>
  </si>
  <si>
    <t>Caixa sifonada de PVC rígido de 100 x 150 x 50 mm, com grelha</t>
  </si>
  <si>
    <t>CAIXA SIFONADA, COM GRELHA QUADRADA, PVC, DN 150 X 150 X 50 MM, JUNTA SOLDÁVEL, FORNECIDA E INSTALADA EM RAMAL DE DESCARGA OU EM RAMAL DE ESGOTO SANITÁRIO. AF_08/2022</t>
  </si>
  <si>
    <t>CAIXA SIFONADA, PVC, DN 150 X 185 X 75 MM, JUNTA ELÁSTICA, FORNECIDA E INSTALADA EM RAMAL DE DESCARGA OU EM RAMAL DE ESGOTO SANITÁRIO. AF_08/2022</t>
  </si>
  <si>
    <t>RALO SIFONADO, PVC, DN 100 X 40 MM, JUNTA SOLDÁVEL, FORNECIDO E INSTALADO EM RAMAL DE DESCARGA OU EM RAMAL DE ESGOTO SANITÁRIO. AF_08/2022</t>
  </si>
  <si>
    <t>SIFÃO DO TIPO FLEXÍVEL EM PVC 1  X 1.1/2  - FORNECIMENTO E INSTALAÇÃO. AF_01/2020</t>
  </si>
  <si>
    <t>SIFÃO DO TIPO GARRAFA/COPO EM PVC 1.1/4  X 1.1/2" - FORNECIMENTO E INSTALAÇÃO. AF_01/2020</t>
  </si>
  <si>
    <t>44.20.260</t>
  </si>
  <si>
    <t>Sifão plástico com copo, rígido, de 1 1/4´ x 2´</t>
  </si>
  <si>
    <t>VÁLVULA EM PLÁSTICO 1" PARA PIA, TANQUE OU LAVATÓRIO, COM OU SEM LADRÃO - FORNECIMENTO E INSTALAÇÃO. AF_01/2020</t>
  </si>
  <si>
    <t>CURVA LONGA, 45 GRAUS, PVC OCRE, JUNTA ELÁSTICA, DN 100 MM, PARA COLETOR PREDIAL DE ESGOTO. AF_06/2022</t>
  </si>
  <si>
    <t>CURVA CURTA 90 GRAUS, PVC, SERIE NORMAL, ESGOTO PREDIAL, DN 100 MM, JUNTA ELÁSTICA, FORNECIDO E INSTALADO EM PRUMADA DE ESGOTO SANITÁRIO OU VENTILAÇÃO. AF_08/2022</t>
  </si>
  <si>
    <t>CURVA CURTA 90 GRAUS, PVC, SERIE NORMAL, ESGOTO PREDIAL, DN 40 MM, JUNTA SOLDÁVEL, FORNECIDO E INSTALADO EM RAMAL DE DESCARGA OU RAMAL DE ESGOTO SANITÁRIO. AF_08/2022</t>
  </si>
  <si>
    <t>JOELHO 45 GRAUS, PVC, SERIE NORMAL, ESGOTO PREDIAL, DN 100 MM, JUNTA ELÁSTICA,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</si>
  <si>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</si>
  <si>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45 GRAUS, PVC, SERIE NORMAL, ESGOTO PREDIAL, DN 75 MM, JUNTA ELÁSTICA, FORNECIDO E INSTALADO EM RAMAL DE DESCARGA OU RAMAL DE ESGOTO SANITÁRIO. AF_08/2022</t>
  </si>
  <si>
    <t>JOELHO 90 GRAUS, PVC, SERIE NORMAL, ESGOTO PREDIAL, DN 40 MM, JUNTA SOLDÁVEL, FORNECIDO E INSTALADO EM RAMAL DE DESCARGA OU RAMAL DE ESGOTO SANITÁRIO. AF_08/2022</t>
  </si>
  <si>
    <t>JUNÇÃO DE REDUÇÃO INVERTIDA, PVC, SÉRIE NORMAL, ESGOTO PREDIAL, DN 100 X 50 MM, JUNTA ELÁSTICA, FORNECIDO E INSTALADO EM RAMAL DE DESCARGA OU RAMAL DE ESGOTO SANITÁRIO. AF_08/2022</t>
  </si>
  <si>
    <t>JUNÇÃO DE REDUCAO INVERTIDA, PVC, SÉRIE NORMAL, ESGOTO PREDIAL, DN 100 X 75 MM, JUNTA ELÁSTICA, FORNECIDO E INSTALADO EM RAMAL DE DESCARGA OU RAMAL DE ESGOTO SANITÁRIO. AF_08/2022</t>
  </si>
  <si>
    <t>JUNÇÃO SIMPLES, PVC, SERIE NORMAL, ESGOTO PREDIAL, DN 100 X 100 MM, JUNTA ELÁSTICA, FORNECIDO E INSTALADO EM RAMAL DE DESCARGA OU RAMAL DE ESGOTO SANITÁRIO. AF_08/2022</t>
  </si>
  <si>
    <t>JUNÇÃO SIMPLES, PVC, SERIE R, ÁGUA PLUVIAL, DN 150 X 100 MM, JUNTA ELÁSTICA, FORNECIDO E INSTALADO EM RAMAL DE ENCAMINHAMENTO. AF_06/2022</t>
  </si>
  <si>
    <t>JUNÇÃO SIMPLES, PVC, SERIE NORMAL, ESGOTO PREDIAL, DN 40 MM, JUNTA SOLDÁVEL, FORNECIDO E INSTALADO EM RAMAL DE DESCARGA OU RAMAL DE ESGOTO SANITÁRIO. AF_08/2022</t>
  </si>
  <si>
    <t>JUNÇÃO SIMPLES, PVC, SERIE NORMAL, ESGOTO PREDIAL, DN 50 X 50 MM, JUNTA ELÁSTICA, FORNECIDO E INSTALADO EM RAMAL DE DESCARGA OU RAMAL DE ESGOTO SANITÁRIO. AF_08/2022</t>
  </si>
  <si>
    <t>JUNÇÃO SIMPLES, PVC, SERIE NORMAL, ESGOTO PREDIAL, DN 75 X 75 MM, JUNTA ELÁSTICA, FORNECIDO E INSTALADO EM RAMAL DE DESCARGA OU RAMAL DE ESGOTO SANITÁRIO. AF_08/2022</t>
  </si>
  <si>
    <t xml:space="preserve"> REDUÇÃO EXCÊNTRICA, PVC, SERIE R, ÁGUA PLUVIAL, DN 100 X 75 MM, JUNTA ELÁSTICA, FORNECIDO E INSTALADO EM RAMAL DE ENCAMINHAMENTO. AF_06/2022</t>
  </si>
  <si>
    <t>REDUÇÃO EXCÊNTRICA, PVC, SERIE R, ÁGUA PLUVIAL, DN 75 X 50 MM, JUNTA ELÁSTICA, FORNECIDO E INSTALADO EM RAMAL DE ENCAMINHAMENTO. AF_06/2022</t>
  </si>
  <si>
    <t xml:space="preserve"> 46.03.050 </t>
  </si>
  <si>
    <t>TUBO DE PVC RÍGIDO PXB COM VIROLA E ANEL DE BORRACHA, LINHA ESGOTO SÉRIE REFORÇADA ´R´, DN= 100 MM, INCLUSIVE CONEXÕES</t>
  </si>
  <si>
    <t xml:space="preserve"> 46.03.060 </t>
  </si>
  <si>
    <t>TUBO DE PVC RÍGIDO PXB COM VIROLA E ANEL DE BORRACHA, LINHA ESGOTO SÉRIE REFORÇADA ´R´. DN= 150 MM, INCLUSIVE CONEXÕES</t>
  </si>
  <si>
    <t xml:space="preserve"> 46.03.038 </t>
  </si>
  <si>
    <t>TUBO DE PVC RÍGIDO PXB COM VIROLA E ANEL DE BORRACHA, LINHA ESGOTO SÉRIE REFORÇADA ´R´, DN= 50 MM, INCLUSIVE CONEXÕES</t>
  </si>
  <si>
    <t xml:space="preserve"> 46.03.040 </t>
  </si>
  <si>
    <t>TUBO DE PVC RÍGIDO PXB COM VIROLA E ANEL DE BORRACHA, LINHA ESGOTO SÉRIE REFORÇADA ´R´, DN= 75 MM, INCLUSIVE CONEXÕES</t>
  </si>
  <si>
    <t xml:space="preserve"> 46.01.040 </t>
  </si>
  <si>
    <t>TUBO DE PVC RÍGIDO SOLDÁVEL MARROM, DN= 40 MM, (1 1/4´), INCLUSIVE CONEXÕES</t>
  </si>
  <si>
    <t xml:space="preserve"> 46.02.010 </t>
  </si>
  <si>
    <t>TUBO DE PVC RÍGIDO BRANCO, PONTAS LISAS, SOLDÁVEL, LINHA ESGOTO SÉRIE NORMAL, DN= 40 MM, INCLUSIVE CONEXÕES</t>
  </si>
  <si>
    <t xml:space="preserve"> 44.20.300</t>
  </si>
  <si>
    <t>Bolsa para bacia sanitária</t>
  </si>
  <si>
    <t>BUCHA DE REDUÇÃO, LONGA, PVC, SOLDÁVEL, DN 40 X 25 MM, INSTALADO EM RAMAL DE DISTRIBUIÇÃO DE ÁGUA - FORNECIMENTO E INSTALAÇÃO. AF_06/2022</t>
  </si>
  <si>
    <t>CURVA DE TRANSPOSIÇÃO, PVC, SOLDÁVEL, DN 25MM, INSTALADO EM RAMAL OU SUB-RAMAL DE ÁGUA   FORNECIMENTO E INSTALAÇÃO. AF_06/2022</t>
  </si>
  <si>
    <t>JOELHO 90 GRAUS, PVC, SOLDÁVEL, DN 25MM, INSTALADO EM RAMAL DE DISTRIBUIÇÃO DE ÁGUA - FORNECIMENTO E INSTALAÇÃO. AF_06/2022</t>
  </si>
  <si>
    <t>CONCRETO MAGRO PARA LASTRO, TRAÇO 1:4,5:4,5 (EM MASSA SECA DE CIMENTO/ AREIA MÉDIA/ BRITA 1) - PREPARO MECÂNICO COM BETONEIRA 400 L. AF_05/2021</t>
  </si>
  <si>
    <t>PLUVIAL</t>
  </si>
  <si>
    <t>CAIXA PARA BOCA DE LOBO COMBINADA COM GRELHA RETANGULAR, EM ALVENARIA COM BLOCOS DE CONCRETO, DIMENSÕES INTERNAS: 1,3X1X1,2 M. AF_12/2020</t>
  </si>
  <si>
    <t xml:space="preserve"> 46.05.020 </t>
  </si>
  <si>
    <t>TUBO PVC RÍGIDO, TIPO COLETOR ESGOTO, JUNTA ELÁSTICA, DN= 100 MM, INCLUSIVE CONEXÕES</t>
  </si>
  <si>
    <t xml:space="preserve"> 46.05.040 </t>
  </si>
  <si>
    <t>TUBO PVC RÍGIDO, TIPO COLETOR ESGOTO, JUNTA ELÁSTICA, DN= 150 MM, INCLUSIVE CONEXÕES</t>
  </si>
  <si>
    <t xml:space="preserve"> 46.01.070 </t>
  </si>
  <si>
    <t>TUBO DE PVC RÍGIDO SOLDÁVEL MARROM, DN= 75 MM, (2 1/2´), INCLUSIVE CONEXÕES</t>
  </si>
  <si>
    <t>TUBO DE PVC PARA REDE COLETORA DE ESGOTO DE PAREDE MACIÇA, DN 200 MM, JUNTA ELÁSTICA - FORNECIMENTO E ASSENTAMENTO. AF_01/2021</t>
  </si>
  <si>
    <t>TUBO DE PVC PARA REDE COLETORA DE ESGOTO DE PAREDE MACIÇA, DN 250 MM, JUNTA ELÁSTICA  - FORNECIMENTO E ASSENTAMENTO. AF_01/2021</t>
  </si>
  <si>
    <t>JOELHO 45 GRAUS, PVC, SOLDÁVEL, DN 25MM, INSTALADO EM RAMAL OU SUB-RAMAL DE ÁGUA - FORNECIMENTO E INSTALAÇÃO. AF_06/2022</t>
  </si>
  <si>
    <t>PREVENÇÃO E COMBATE A INCÊNDIO (PCI)</t>
  </si>
  <si>
    <t>EXTINTOR DE INCÊNDIO PORTÁTIL COM CARGA DE PQS DE 8 KG, CLASSE BC - FORNECIMENTO E INSTALAÇÃO. AF_10/2020_PE</t>
  </si>
  <si>
    <t>INFRAESTRUTURA</t>
  </si>
  <si>
    <t>CAIXA RETANGULAR 4" X 2" MÉDIA (1,30 M DO PISO), PVC, INSTALADA EM PAREDE - FORNECIMENTO E INSTALAÇÃO. AF_03/2023</t>
  </si>
  <si>
    <t>CAIXA RETANGULAR 4" X 4" MÉDIA (1,30 M DO PISO), PVC, INSTALADA EM PAREDE - FORNECIMENTO E INSTALAÇÃO. AF_03/2023</t>
  </si>
  <si>
    <t>CAIXA OCTOGONAL 3" X 3", PVC, INSTALADA EM LAJE - FORNECIMENTO E INSTALAÇÃO. AF_03/2023</t>
  </si>
  <si>
    <t>CAIXA RETANGULAR 4" X 2" MÉDIA (1,30 M DO PISO), METÁLICA, INSTALADA EM PAREDE - FORNECIMENTO E INSTALAÇÃO. AF_03/2023</t>
  </si>
  <si>
    <t>CURVA 90 GRAUS PARA ELETRODUTO, PVC, ROSCÁVEL, DN 40 MM (1  1/4"), PARA CIRCUITOS TERMINAIS, INSTALADA EM PAREDE - FORNECIMENTO E INSTALAÇÃO. AF_03/2023</t>
  </si>
  <si>
    <t>CABO DE COBRE FLEXÍVEL ISOLADO, 50 MM², ANTI-CHAMA 0,6/1,0 KV, PARA REDE ENTERRADA DE DISTRIBUIÇÃO DE ENERGIA ELÉTRICA - FORNECIMENTO E INSTALAÇÃO. AF_12/2021</t>
  </si>
  <si>
    <t>CABO DE COBRE FLEXÍVEL ISOLADO, 95 MM², ANTI-CHAMA 0,6/1,0 KV, PARA REDE ENTERRADA DE DISTRIBUIÇÃO DE ENERGIA ELÉTRICA - FORNECIMENTO E INSTALAÇÃO. AF_12/2021</t>
  </si>
  <si>
    <t>CABO DE COBRE FLEXÍVEL ISOLADO, 10 MM², 0,6/1,0 KV, PARA REDE AÉREA DE DISTRIBUIÇÃO DE ENERGIA ELÉTRICA DE BAIXA TENSÃO - FORNECIMENTO E INSTALAÇÃO. AF_07/2020</t>
  </si>
  <si>
    <t>CABO DE COBRE FLEXÍVEL ISOLADO, 16 MM², ANTI-CHAMA 0,6/1,0 KV, PARA CIRCUITOS TERMINAIS - FORNECIMENTO E INSTALAÇÃO. AF_03/2023</t>
  </si>
  <si>
    <t>CABO DE COBRE FLEXÍVEL ISOLADO, 25 MM², ANTI-CHAMA 0,6/1,0 KV, PARA REDE ENTERRADA DE DISTRIBUIÇÃO DE ENERGIA ELÉTRICA - FORNECIMENTO E INSTALAÇÃO. AF_12/2021</t>
  </si>
  <si>
    <t>CABO DE COBRE FLEXÍVEL ISOLADO, 35 MM², ANTI-CHAMA 0,6/1,0 KV, PARA REDE ENTERRADA DE DISTRIBUIÇÃO DE ENERGIA ELÉTRICA - FORNECIMENTO E INSTALAÇÃO. AF_12/2021</t>
  </si>
  <si>
    <t>CABO DE COBRE FLEXÍVEL ISOLADO, 1,5 MM², ANTI-CHAMA 450/750 V, PARA CIRCUITOS TERMINAIS - FORNECIMENTO E INSTALAÇÃO. AF_03/2023</t>
  </si>
  <si>
    <t>CABO DE COBRE FLEXÍVEL ISOLADO, 2,5 MM², ANTI-CHAMA 450/750 V, PARA CIRCUITOS TERMINAIS - FORNECIMENTO E INSTALAÇÃO. AF_03/2023</t>
  </si>
  <si>
    <t>INTERRUPTOR PARALELO (2 MÓDULOS), 10A/250V, INCLUINDO SUPORTE E PLACA - FORNECIMENTO E INSTALAÇÃO. AF_03/2023</t>
  </si>
  <si>
    <t>INTERRUPTOR INTERMEDIÁRIO (1 MÓDULO), 10A/250V, INCLUINDO SUPORTE E PLACA - FORNECIMENTO E INSTALAÇÃO. AF_03/2023</t>
  </si>
  <si>
    <t>INTERRUPTOR PARALELO (1 MÓDULO), 10A/250V, INCLUINDO SUPORTE E PLACA - FORNECIMENTO E INSTALAÇÃO. AF_03/2023</t>
  </si>
  <si>
    <t>INTERRUPTOR SIMPLES (1 MÓDULO) COM INTERRUPTOR PARALELO (1 MÓDULO), 10A/250V,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</si>
  <si>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</si>
  <si>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</si>
  <si>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</si>
  <si>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</si>
  <si>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INTERRUPTOR SIMPLES (1 MÓDULO) COM 1 TOMADA DE EMBUTIR 2P+T 10 A, SEM SUPORTE E SEM PLACA - FORNECIMENTO E INSTALAÇÃO. AF_03/2023</t>
  </si>
  <si>
    <t>INTERRUPTOR SIMPLES (2 MÓDULOS) COM 1 TOMADA DE EMBUTIR 2P+T 10 A, SEM SUPORTE E SEM PLACA - FORNECIMENTO E INSTALAÇÃO. AF_03/2023</t>
  </si>
  <si>
    <t>TOMADA MÉDIA DE EMBUTIR (2 MÓDULOS), 2P+T 10 A, SEM SUPORTE E SEM PLACA - FORNECIMENTO E INSTALAÇÃO. AF_03/2023</t>
  </si>
  <si>
    <t>TOMADA MÉDIA DE EMBUTIR (2 MÓDULOS), 2P+T 20 A, SEM SUPORTE E SEM PLACA - FORNECIMENTO E INSTALAÇÃO. AF_03/2023</t>
  </si>
  <si>
    <t>TOMADA MÉDIA DE EMBUTIR (3 MÓDULOS), 2P+T 10 A, SEM SUPORTE E SEM PLACA - FORNECIMENTO E INSTALAÇÃO. AF_03/2023</t>
  </si>
  <si>
    <t>TOMADA MÉDIA DE EMBUTIR (1 MÓDULO), 2P+T 10 A, SEM SUPORTE E SEM PLACA - FORNECIMENTO E INSTALAÇÃO. AF_03/2023</t>
  </si>
  <si>
    <t>TOMADA MÉDIA DE EMBUTIR (1 MÓDULO), 2P+T 20 A, SEM SUPORTE E SEM PLACA - FORNECIMENTO E INSTALAÇÃO. AF_03/2023</t>
  </si>
  <si>
    <t>40.05.340</t>
  </si>
  <si>
    <t>Sensor de presença para teto, com fotocélula, para lâmpada qualquer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</si>
  <si>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</si>
  <si>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</si>
  <si>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</si>
  <si>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TRIPOLAR TIPO DIN, CORRENTE NOMINAL DE 16A - FORNECIMENTO E INSTALAÇÃO. AF_10/2020</t>
  </si>
  <si>
    <t>DISJUNTOR TRIPOLAR TIPO DIN, CORRENTE NOMINAL DE 40A - FORNECIMENTO E INSTALAÇÃO. AF_10/2020</t>
  </si>
  <si>
    <t>37.17.070</t>
  </si>
  <si>
    <t>Dispositivo diferencial residual de 40 A x 30 mA - 2 polos</t>
  </si>
  <si>
    <t>ELETRODUTO FLEXÍVEL CORRUGADO REFORÇADO, PVC, DN 32 MM (1"), PARA CIRCUITOS TERMINAIS, INSTALADO EM FORRO - FORNECIMENTO E INSTALAÇÃO. AF_03/2023_PA</t>
  </si>
  <si>
    <t>ELETRODUTO FLEXÍVEL CORRUGADO REFORÇADO, PVC, DN 25 MM (3/4"), PARA CIRCUITOS TERMINAIS, INSTALADO EM FORRO - FORNECIMENTO E INSTALAÇÃO. AF_03/2023_PA</t>
  </si>
  <si>
    <t>ELETRODUTO RÍGIDO ROSCÁVEL, PVC, DN 50 MM (1  1/2"), PARA REDE ENTERRADA DE DISTRIBUIÇÃO DE ENERGIA ELÉTRICA - FORNECIMENTO E INSTALAÇÃO. AF_12/2021</t>
  </si>
  <si>
    <t>ELETRODUTO RÍGIDO ROSCÁVEL, PVC, DN 40 MM (1  1/4"), PARA CIRCUITOS TERMINAIS, INSTALADO EM FORRO - FORNECIMENTO E INSTALAÇÃO. AF_03/2023</t>
  </si>
  <si>
    <t>ELETRODUTO RÍGIDO ROSCÁVEL, PVC, DN 60 MM (2"), PARA REDE ENTERRADA DE DISTRIBUIÇÃO DE ENERGIA ELÉTRICA - FORNECIMENTO E INSTALAÇÃO. AF_12/2021</t>
  </si>
  <si>
    <t xml:space="preserve"> 38.04.080 </t>
  </si>
  <si>
    <t>ELETRODUTO GALVANIZADO CONFORME NBR13057 -  1 1/4´ COM ACESSÓRIOS</t>
  </si>
  <si>
    <t>ARMAÇÃO SECUNDÁRIA, COM 1 ESTRIBO E 1 ISOLADOR - FORNECIMENTO E INSTALAÇÃO. AF_07/2020</t>
  </si>
  <si>
    <t xml:space="preserve"> 37.03.210</t>
  </si>
  <si>
    <t xml:space="preserve"> 37.03.220</t>
  </si>
  <si>
    <t>QUADRO DE DISTRIBUIÇÃO DE ENERGIA EM CHAPA DE AÇO GALVANIZADO, DE EMBUTIR, COM BARRAMENTO TRIFÁSICO, PARA 40 DISJUNTORES DIN 100A - FORNECIMENTO E INSTALAÇÃO. AF_10/2020</t>
  </si>
  <si>
    <t>ILUMINAÇÃO</t>
  </si>
  <si>
    <t>SPDA</t>
  </si>
  <si>
    <t>CLIMATIZAÇÃO</t>
  </si>
  <si>
    <t>TUBO EM COBRE FLEXÍVEL, DN 1/4", COM ISOLAMENTO, INSTALADO EM RAMAL DE ALIMENTAÇÃO DE AR CONDICIONADO COM CONDENSADORA CENTRAL - FORNECIMENTO E INSTALAÇÃO. AF_12/2015</t>
  </si>
  <si>
    <t>TUBO EM COBRE FLEXÍVEL, DN 3/8", COM ISOLAMENTO, INSTALADO EM FORRO, PARA RAMAL DE ALIMENTAÇÃO DE AR CONDICIONADO, INCLUSO FIXADOR. AF_11/2021_PA</t>
  </si>
  <si>
    <t>TUBO EM COBRE FLEXÍVEL, DN 1/2", COM ISOLAMENTO, INSTALADO EM FORRO, PARA RAMAL DE ALIMENTAÇÃO DE AR CONDICIONADO, INCLUSO FIXADOR. AF_11/2021_PA</t>
  </si>
  <si>
    <t>TUBO EM COBRE FLEXÍVEL, DN 5/8", COM ISOLAMENTO, INSTALADO EM RAMAL DE ALIMENTAÇÃO DE AR CONDICIONADO COM CONDENSADORA INDIVIDUAL - FORNECIMENTO E INSTALAÇÃO. AF_12/2015</t>
  </si>
  <si>
    <t>39.24.173</t>
  </si>
  <si>
    <t>61.10.310</t>
  </si>
  <si>
    <t xml:space="preserve"> 61.10.300</t>
  </si>
  <si>
    <t>38.07.200</t>
  </si>
  <si>
    <t>SUPORTE PARA 2 TUBOS HORIZONTAIS, ESPAÇADO A CADA 56 CM, EM PERFILADO COM COMPRIMENTO DE 25 CM FIXADO EM LAJE, POR METRO DE TUBULAÇÃO FIXADA. AF_09/2023</t>
  </si>
  <si>
    <t>URBANIZAÇÃO</t>
  </si>
  <si>
    <t>PAVIMENTAÇÃO E ACESSIBILIDADE</t>
  </si>
  <si>
    <t>ASSENTAMENTO DE GUIA (MEIO-FIO) EM TRECHO CURVO, CONFECCIONADA EM CONCRETO PRÉ-FABRICADO, DIMENSÕES 100X15X13X20 CM (COMPRIMENTO X BASE INFERIOR X BASE SUPERIOR X ALTURA). AF_01/2024</t>
  </si>
  <si>
    <t>CÓD</t>
  </si>
  <si>
    <t>TOTAL</t>
  </si>
  <si>
    <t>B.D.I. ADOTADO 20%</t>
  </si>
  <si>
    <r>
      <t xml:space="preserve">BDI: </t>
    </r>
    <r>
      <rPr>
        <b/>
        <sz val="12"/>
        <rFont val="Arial"/>
        <family val="2"/>
      </rPr>
      <t>20%</t>
    </r>
  </si>
  <si>
    <t>PROJETOS COMPLEMENTARES</t>
  </si>
  <si>
    <t>Projeto executivo de arquitetura em formato A0</t>
  </si>
  <si>
    <t>Projeto executivo de estrutura em formato A0</t>
  </si>
  <si>
    <t>Projeto executivo de instalações hidráulicas em formato A0</t>
  </si>
  <si>
    <t>Projeto executivo de instalações elétricas em formato A0</t>
  </si>
  <si>
    <t>Projeto executivo de climatização em formato A0</t>
  </si>
  <si>
    <t>01.17.041</t>
  </si>
  <si>
    <t>01.17.061</t>
  </si>
  <si>
    <t>01.17.081</t>
  </si>
  <si>
    <t>01.17.121</t>
  </si>
  <si>
    <t>01.17.161</t>
  </si>
  <si>
    <t>1.1.1</t>
  </si>
  <si>
    <t xml:space="preserve">SUBTOTAL </t>
  </si>
  <si>
    <t>SERVÇOS INICIAIS</t>
  </si>
  <si>
    <t>1.1</t>
  </si>
  <si>
    <t>1.1.2</t>
  </si>
  <si>
    <t>1.1.3</t>
  </si>
  <si>
    <t>1.1.4</t>
  </si>
  <si>
    <t>1.1.5</t>
  </si>
  <si>
    <t>CONSTRUÇÃO DE UBS GLEBA PORTE III</t>
  </si>
  <si>
    <t xml:space="preserve"> CONCRETAGEM DE PILARES, FCK = 25 MPA, COM USO DE BOMBA - LANÇAMENTO, ADENSAMENTO E ACABAMENTO. AF_02/2022_PS</t>
  </si>
  <si>
    <t>CONCRETAGEM DE VIGAS E LAJES, FCK=25 MPA, PARA LAJES MACIÇAS OU NERVURADAS COM USO DE BOMBA - LANÇAMENTO, ADENSAMENTO E ACABAMENTO. AF_02/2022_PS</t>
  </si>
  <si>
    <t xml:space="preserve">Quadro de distribuição universal de embutir, para disjuntores 24 DIN /
18 Bolt-on - 150 A - sem componentes </t>
  </si>
  <si>
    <t xml:space="preserve"> Quadro de distribuição universal de embutir, para disjuntores 34 DIN /
24 Bolt-on - 150 A - sem componentes </t>
  </si>
  <si>
    <t>Cabo de cobre flexível de 4 x 4 mm², isolamento 500 V - isolação PP 70°C</t>
  </si>
  <si>
    <t>REDE E TELEFONIA</t>
  </si>
  <si>
    <t>REVESTIMENTO ARGAMASSADO - PISO EXTERNO</t>
  </si>
  <si>
    <t>AR CONDICIONADO SPLIT INVERTER, HI-WALL (PAREDE), 12000 BTU/H, CICLO FRIO, 60HZ, CLASSIFICACAO A (SELO PROCEL), GAS HFC, CONTROLE S/FIO</t>
  </si>
  <si>
    <t>AR CONDICIONADO SPLIT INVERTER, HI-WALL (PAREDE), 18000 BTU/H, CICLO FRIO, 60HZ, CLASSIFICACAO A (SELO PROCEL), GAS HFC, CONTROLE S/FIO</t>
  </si>
  <si>
    <t>AR CONDICIONADO SPLIT INVERTER, HI-WALL (PAREDE), 24000 BTU/H, CICLO FRIO, 60HZ, CLASSIFICACAO A (SELO PROCEL), GAS HFC, CONTROLE S/FIO</t>
  </si>
  <si>
    <t xml:space="preserve">CABO DE REDE, PAR TRANCADO U/UTP, 4 PARES, CATEGORIA 5E (CAT 5E), ISOLAMENTO PVC (CMX </t>
  </si>
  <si>
    <t>CABO COAXIAL RG11 95% DE MALHA</t>
  </si>
  <si>
    <t xml:space="preserve">BASE METÁLICA PARA MASTRO 1 ½" PARA SPDA - FORNECIMENTO E INSTALAÇÃO. AF_08/2023 </t>
  </si>
  <si>
    <t xml:space="preserve">CAPTOR TIPO FRANKLIN PARA SPDA - FORNECIMENTO E INSTALAÇÃO. AF_08/2023 </t>
  </si>
  <si>
    <t xml:space="preserve">CONECTOR GRAMPO METÁLICO TIPO OLHAL, PARA SPDA, PARA HASTE DE ATERRAMENTO DE 3/4'' E CABOS DE 10 A 50 MM2 - FORNECIMENTO E INSTALAÇÃO. AF_08/2023 </t>
  </si>
  <si>
    <t>CORDOALHA DE COBRE NU 35 MM², NÃO ENTERRADA, COM ISOLADOR - FORNECIMENTO E INSTALAÇÃO. AF_08/2023</t>
  </si>
  <si>
    <t>HASTE DE ATERRAMENTO, DIÂMETRO 3/4", COM 3 METROS - FORNECIMENTO E INSTALAÇÃO. AF_08/2023</t>
  </si>
  <si>
    <t xml:space="preserve">MASTRO 1 ½", COM 3 METROS, PARA SPDA - FORNECIMENTO E INSTALAÇÃO. AF_08/2023 </t>
  </si>
  <si>
    <t>Cobertura plana em chapa de policarbonato alveolar de 10 mm</t>
  </si>
  <si>
    <t xml:space="preserve"> 16.32.120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</si>
  <si>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</si>
  <si>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</si>
  <si>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</si>
  <si>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</si>
  <si>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</si>
  <si>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</si>
  <si>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</si>
  <si>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</si>
  <si>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</si>
  <si>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</si>
  <si>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</si>
  <si>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</si>
  <si>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</si>
  <si>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</si>
  <si>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</si>
  <si>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</si>
  <si>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</si>
  <si>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</si>
  <si>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</si>
  <si>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</si>
  <si>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</si>
  <si>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</si>
  <si>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</si>
  <si>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</si>
  <si>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</si>
  <si>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</si>
  <si>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4.1</t>
  </si>
  <si>
    <t>4.1.1</t>
  </si>
  <si>
    <t>4.1.2</t>
  </si>
  <si>
    <t>4.1.3</t>
  </si>
  <si>
    <t>4.1.4</t>
  </si>
  <si>
    <t>4.1.5</t>
  </si>
  <si>
    <t>4.1.6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</si>
  <si>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</si>
  <si>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</si>
  <si>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</si>
  <si>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</si>
  <si>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</si>
  <si>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</si>
  <si>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</si>
  <si>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</si>
  <si>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</si>
  <si>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</si>
  <si>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</si>
  <si>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</si>
  <si>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</si>
  <si>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</si>
  <si>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</si>
  <si>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</si>
  <si>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</si>
  <si>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</si>
  <si>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</si>
  <si>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</si>
  <si>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</si>
  <si>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5.1</t>
  </si>
  <si>
    <t>5.1.1</t>
  </si>
  <si>
    <t>5.1.2</t>
  </si>
  <si>
    <t>5.1.3</t>
  </si>
  <si>
    <t>5.1.4</t>
  </si>
  <si>
    <t>5.1.5</t>
  </si>
  <si>
    <t>5.1.6</t>
  </si>
  <si>
    <t>5.2</t>
  </si>
  <si>
    <t>5.2.1</t>
  </si>
  <si>
    <t>5.2.2</t>
  </si>
  <si>
    <t>5.3</t>
  </si>
  <si>
    <t>5.3.1</t>
  </si>
  <si>
    <t>6.1</t>
  </si>
  <si>
    <t>6.1.1</t>
  </si>
  <si>
    <t>6.1.2</t>
  </si>
  <si>
    <t>6.1.3</t>
  </si>
  <si>
    <t>6.2</t>
  </si>
  <si>
    <t>6.2.1</t>
  </si>
  <si>
    <t>6.2.2</t>
  </si>
  <si>
    <t>6.3</t>
  </si>
  <si>
    <t>6.3.1</t>
  </si>
  <si>
    <t>6.3.2</t>
  </si>
  <si>
    <t>6.3.3</t>
  </si>
  <si>
    <t>7.1</t>
  </si>
  <si>
    <t>7.2</t>
  </si>
  <si>
    <t>7.3</t>
  </si>
  <si>
    <t>8.1</t>
  </si>
  <si>
    <t>8.1.1</t>
  </si>
  <si>
    <t>8.1.2</t>
  </si>
  <si>
    <t>8.1.3</t>
  </si>
  <si>
    <t>8.2</t>
  </si>
  <si>
    <t>8.2.1</t>
  </si>
  <si>
    <t>8.2.2</t>
  </si>
  <si>
    <t>8.2.4</t>
  </si>
  <si>
    <t>8.2.5</t>
  </si>
  <si>
    <t>8.2.7</t>
  </si>
  <si>
    <t>8.3</t>
  </si>
  <si>
    <t>8.3.1</t>
  </si>
  <si>
    <t>8.4</t>
  </si>
  <si>
    <t>8.4.1</t>
  </si>
  <si>
    <t>8.4.2</t>
  </si>
  <si>
    <t>8.4.3</t>
  </si>
  <si>
    <t>8.4.4</t>
  </si>
  <si>
    <t>9.1</t>
  </si>
  <si>
    <t>9.1.1</t>
  </si>
  <si>
    <t>9.1.2</t>
  </si>
  <si>
    <t>9.1.3</t>
  </si>
  <si>
    <t>9.2</t>
  </si>
  <si>
    <t>9.2.1</t>
  </si>
  <si>
    <t>10.1</t>
  </si>
  <si>
    <t>10.1.1</t>
  </si>
  <si>
    <t>10.1.2</t>
  </si>
  <si>
    <t>10.2</t>
  </si>
  <si>
    <t>10.2.1</t>
  </si>
  <si>
    <t>10.3</t>
  </si>
  <si>
    <t>10.3.1</t>
  </si>
  <si>
    <t>11.1</t>
  </si>
  <si>
    <t>11.1.1</t>
  </si>
  <si>
    <t>11.1.2</t>
  </si>
  <si>
    <t>11.2</t>
  </si>
  <si>
    <t>11.2.1</t>
  </si>
  <si>
    <t>11.3</t>
  </si>
  <si>
    <t>11.3.1</t>
  </si>
  <si>
    <t>11.3.2</t>
  </si>
  <si>
    <t>11.3.3</t>
  </si>
  <si>
    <t>11.3.4</t>
  </si>
  <si>
    <t>11.3.5</t>
  </si>
  <si>
    <t>11.3.6</t>
  </si>
  <si>
    <t>11.3.7</t>
  </si>
  <si>
    <t>11.4</t>
  </si>
  <si>
    <t>11.4.1</t>
  </si>
  <si>
    <t>12.1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</si>
  <si>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</si>
  <si>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</si>
  <si>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</si>
  <si>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</si>
  <si>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</si>
  <si>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</si>
  <si>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</si>
  <si>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</si>
  <si>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</si>
  <si>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</si>
  <si>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</si>
  <si>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</si>
  <si>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</si>
  <si>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</si>
  <si>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</si>
  <si>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</si>
  <si>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</si>
  <si>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</si>
  <si>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</si>
  <si>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</si>
  <si>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</si>
  <si>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</si>
  <si>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</si>
  <si>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</si>
  <si>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</si>
  <si>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</si>
  <si>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</si>
  <si>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</si>
  <si>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</si>
  <si>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</si>
  <si>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</si>
  <si>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</si>
  <si>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</si>
  <si>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</si>
  <si>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</si>
  <si>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</si>
  <si>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</si>
  <si>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</si>
  <si>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</si>
  <si>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</si>
  <si>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</si>
  <si>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</si>
  <si>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</si>
  <si>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</si>
  <si>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</si>
  <si>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</si>
  <si>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12.2</t>
  </si>
  <si>
    <t>12.2.1</t>
  </si>
  <si>
    <t>12.2.2</t>
  </si>
  <si>
    <t>12.2.3</t>
  </si>
  <si>
    <t>12.3</t>
  </si>
  <si>
    <t>12.3.1</t>
  </si>
  <si>
    <t>12.3.2</t>
  </si>
  <si>
    <t>12.3.3</t>
  </si>
  <si>
    <t>12.3.4</t>
  </si>
  <si>
    <t>12.3.5</t>
  </si>
  <si>
    <t>12.3.6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</si>
  <si>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</si>
  <si>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</si>
  <si>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</si>
  <si>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</si>
  <si>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</si>
  <si>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</si>
  <si>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</si>
  <si>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</si>
  <si>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</si>
  <si>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</si>
  <si>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13.2</t>
  </si>
  <si>
    <t>13.2.1</t>
  </si>
  <si>
    <t>13.2.2</t>
  </si>
  <si>
    <t>13.2.3</t>
  </si>
  <si>
    <t>14.1</t>
  </si>
  <si>
    <t>14.2</t>
  </si>
  <si>
    <t>15.1</t>
  </si>
  <si>
    <t>16.1</t>
  </si>
  <si>
    <t>16.1.1</t>
  </si>
  <si>
    <t>16.1.2</t>
  </si>
  <si>
    <t>16.2</t>
  </si>
  <si>
    <t>16.2.1</t>
  </si>
  <si>
    <t>17.1</t>
  </si>
  <si>
    <t>UM</t>
  </si>
  <si>
    <t>10.4</t>
  </si>
  <si>
    <t>10.4.1</t>
  </si>
  <si>
    <t>10.4.2</t>
  </si>
  <si>
    <t>10.4.3</t>
  </si>
  <si>
    <t>REVESTIMENTO</t>
  </si>
  <si>
    <t>REVESTIMENTO ARGAMASSADO - PAREDE</t>
  </si>
  <si>
    <t>REVESTIMENTO CERÂMICO - PAREDE</t>
  </si>
  <si>
    <t>9.3</t>
  </si>
  <si>
    <t>9.3.1</t>
  </si>
  <si>
    <t>9.3.2</t>
  </si>
  <si>
    <t>9.4</t>
  </si>
  <si>
    <t>9.4.1</t>
  </si>
  <si>
    <t>9.5</t>
  </si>
  <si>
    <t>9.5.1</t>
  </si>
  <si>
    <t>9.6</t>
  </si>
  <si>
    <t>9.6.1</t>
  </si>
  <si>
    <t>9.6.1.1</t>
  </si>
  <si>
    <t>9.6.1.2</t>
  </si>
  <si>
    <t>9.6.1.3</t>
  </si>
  <si>
    <t>9.6.1.4</t>
  </si>
  <si>
    <t>9.7</t>
  </si>
  <si>
    <t>9.7.1</t>
  </si>
  <si>
    <t>9.7.2</t>
  </si>
  <si>
    <t>9.8</t>
  </si>
  <si>
    <t>9.8.1</t>
  </si>
  <si>
    <t>9.8.2</t>
  </si>
  <si>
    <t>10.3.2</t>
  </si>
  <si>
    <t>10.3.3</t>
  </si>
  <si>
    <t>10.3.4</t>
  </si>
  <si>
    <t>10.3.5</t>
  </si>
  <si>
    <t>10.3.6</t>
  </si>
  <si>
    <t>10.3.7</t>
  </si>
  <si>
    <t>10.4.4</t>
  </si>
  <si>
    <t>10.4.5</t>
  </si>
  <si>
    <t>10.4.6</t>
  </si>
  <si>
    <t>10.4.7</t>
  </si>
  <si>
    <t>10.4.8</t>
  </si>
  <si>
    <t>10.4.9</t>
  </si>
  <si>
    <t>10.4.10</t>
  </si>
  <si>
    <t>10.4.11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</si>
  <si>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</si>
  <si>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</si>
  <si>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</si>
  <si>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</si>
  <si>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</si>
  <si>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</si>
  <si>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</si>
  <si>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</si>
  <si>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</si>
  <si>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</si>
  <si>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</si>
  <si>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</si>
  <si>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</si>
  <si>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</si>
  <si>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</si>
  <si>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</si>
  <si>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</si>
  <si>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</si>
  <si>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</si>
  <si>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</si>
  <si>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11.1.23</t>
  </si>
  <si>
    <t>11.1.24</t>
  </si>
  <si>
    <t>11.1.25</t>
  </si>
  <si>
    <t>11.1.26</t>
  </si>
  <si>
    <t>11.1.27</t>
  </si>
  <si>
    <t>11.1.28</t>
  </si>
  <si>
    <t>11.1.29</t>
  </si>
  <si>
    <t>11.1.30</t>
  </si>
  <si>
    <t>11.1.31</t>
  </si>
  <si>
    <t>11.1.32</t>
  </si>
  <si>
    <t>11.1.33</t>
  </si>
  <si>
    <t>11.1.34</t>
  </si>
  <si>
    <t>11.1.35</t>
  </si>
  <si>
    <t>11.1.36</t>
  </si>
  <si>
    <t>11.1.37</t>
  </si>
  <si>
    <t>11.1.38</t>
  </si>
  <si>
    <t>11.1.39</t>
  </si>
  <si>
    <t>11.1.40</t>
  </si>
  <si>
    <t>11.1.41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</si>
  <si>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</si>
  <si>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</si>
  <si>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</si>
  <si>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</si>
  <si>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</si>
  <si>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</si>
  <si>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</si>
  <si>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</si>
  <si>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</si>
  <si>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</si>
  <si>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</si>
  <si>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</si>
  <si>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11.2.14</t>
  </si>
  <si>
    <t>11.2.15</t>
  </si>
  <si>
    <t>11.2.16</t>
  </si>
  <si>
    <t>11.2.17</t>
  </si>
  <si>
    <t>11.2.18</t>
  </si>
  <si>
    <t>11.2.19</t>
  </si>
  <si>
    <t>11.2.20</t>
  </si>
  <si>
    <t>11.2.21</t>
  </si>
  <si>
    <t>11.2.22</t>
  </si>
  <si>
    <t>11.2.23</t>
  </si>
  <si>
    <t>11.2.24</t>
  </si>
  <si>
    <t>11.2.25</t>
  </si>
  <si>
    <t>11.2.26</t>
  </si>
  <si>
    <t>11.2.27</t>
  </si>
  <si>
    <t>11.2.28</t>
  </si>
  <si>
    <t>11.2.29</t>
  </si>
  <si>
    <t>11.2.30</t>
  </si>
  <si>
    <t>11.2.31</t>
  </si>
  <si>
    <t>11.2.32</t>
  </si>
  <si>
    <t>11.2.33</t>
  </si>
  <si>
    <t>11.2.34</t>
  </si>
  <si>
    <t>11.2.35</t>
  </si>
  <si>
    <t>11.2.36</t>
  </si>
  <si>
    <t>11.2.37</t>
  </si>
  <si>
    <t>11.2.38</t>
  </si>
  <si>
    <t>11.2.39</t>
  </si>
  <si>
    <t>11.2.40</t>
  </si>
  <si>
    <t>11.2.41</t>
  </si>
  <si>
    <t>11.2.42</t>
  </si>
  <si>
    <t>11.3.8</t>
  </si>
  <si>
    <t>11.3.9</t>
  </si>
  <si>
    <t>11.3.10</t>
  </si>
  <si>
    <t>11.3.11</t>
  </si>
  <si>
    <t>11.3.12</t>
  </si>
  <si>
    <t>11.3.13</t>
  </si>
  <si>
    <t>11.3.14</t>
  </si>
  <si>
    <t>11.3.15</t>
  </si>
  <si>
    <t>12.1.47</t>
  </si>
  <si>
    <t>12.1.48</t>
  </si>
  <si>
    <t>12.1.49</t>
  </si>
  <si>
    <t>12.1.50</t>
  </si>
  <si>
    <t>12.1.51</t>
  </si>
  <si>
    <t>12.1.52</t>
  </si>
  <si>
    <t xml:space="preserve"> Vergalhão com rosca, porca e arruela de diâmetro 3/8´ (tirante)</t>
  </si>
  <si>
    <t>Duto flexível aluminizado, seção circular de 10cm (4´)</t>
  </si>
  <si>
    <t>Duto flexível aluminizado, seção circular de 15cm (6´)</t>
  </si>
  <si>
    <t>CAIXA DE CONCRETO ARMADO PRE-MOLDADO, COM FUNDO E TAMPA, DIMENSOES DE 0,40 X 0,40 X 0,40 M</t>
  </si>
  <si>
    <t>CARGA, MANOBRA E DESCARGA DE ENTULHO EM CAMINHÃO BASCULANTE 10 M³ - CARGA COM ESCAVADEIRA HIDRÁULICA (CAÇAMBA DE 0,80 M³ / 111 HP) E DESCARGA LIVRE (UNIDADE: M3). AF_07/2020</t>
  </si>
  <si>
    <t>M³</t>
  </si>
  <si>
    <t>MUROS</t>
  </si>
  <si>
    <t>VIGAS BALDRAMES</t>
  </si>
  <si>
    <t>15.1.1</t>
  </si>
  <si>
    <t>15.1.2</t>
  </si>
  <si>
    <t>REGULARIZAÇÃO E COMPACTAÇÃO DE SUBLEITO DE SOLO PREDOMINANTEMENTE ARGILOSO, PARA OBRAS DE CONSTRUÇÃO DE PAVIMENTOS. AF_09/2024</t>
  </si>
  <si>
    <r>
      <t>M</t>
    </r>
    <r>
      <rPr>
        <b/>
        <sz val="11"/>
        <rFont val="Arial"/>
        <family val="2"/>
      </rPr>
      <t>²</t>
    </r>
  </si>
  <si>
    <t>LASTRO DE CONCRETO MAGRO, APLICADO EM BLOCOS DE COROAMENTO OU SAPATAS, ESPESSURA DE 5 CM. AF_01/2024</t>
  </si>
  <si>
    <t>09.01.020</t>
  </si>
  <si>
    <t>FORMA EM MADEIRA COMUM PARA FUNDAÇÃO</t>
  </si>
  <si>
    <t>ARMAÇÃO DE SAPATA ISOLADA, VIGA BALDRAME E SAPATA CORRIDA UTILIZANDO AÇO CA-50 DE 8 MM - MONTAGEM. AF_01/2024</t>
  </si>
  <si>
    <t>CONCRETO USINADO BOMBEAVEL, CLASSE DE RESISTENCIA C30, BRITA 0 E 1, SLUMP = 100 +/- 20 MM, COM BOMBEAMENTO (DISPONIBILIZACAO DE BOMBA), SEM O LANCAMENTO (NBR 8953)</t>
  </si>
  <si>
    <t xml:space="preserve">ALVENARIA DE EMBASAMENTO COM BLOCO ESTRUTURAL DE CERÂMICA, DE 14X19X29CM E ARGAMASSA DE ASSENTAMENTO COM PREPARO EM BETONEIRA. AF_05/2020                                        </t>
  </si>
  <si>
    <t>PILARES E PAREDE</t>
  </si>
  <si>
    <t>17.02.220</t>
  </si>
  <si>
    <t>Reboco</t>
  </si>
  <si>
    <t>17.02.020</t>
  </si>
  <si>
    <t>Chapisco</t>
  </si>
  <si>
    <t>17.02.120</t>
  </si>
  <si>
    <t>Emboço comum</t>
  </si>
  <si>
    <t>ALVENARIA DE VEDAÇÃO DE BLOCOS CERÂMICOS FURADOS NA HORIZONTAL DE 14X19X29 CM (ESPESSURA 14CM) E ARGAMASSA DE ASSENTAMENTO COM PREPARO MANUAL. AF_12/2021</t>
  </si>
  <si>
    <t>Revestimento em placa cerâmica esmaltada de 10x10 cm, assentado e
rejuntado com argamassa industrializada - parede inteira</t>
  </si>
  <si>
    <t xml:space="preserve">PINTURA LÁTEX ACRÍLICA PREMIUM, APLICAÇÃO MANUAL EM PAREDES, DUAS DEMÃOS. AF_04/2023 </t>
  </si>
  <si>
    <t>CHAPIM SOBRE MUROS LINEARES, EM GRANITO OU MÁRMORE, L = 25 CM, ASSENTADO COM ARGAMASSA 1:6 COM ADITIVO. AF_11/2020</t>
  </si>
  <si>
    <t>CAIXA D'AGUA / RESERVATORIO EM POLIESTER REFORCADO COM FIBRA DE VIDRO, 2000 LITROS, COM TAMPA</t>
  </si>
  <si>
    <t>CAIXA D'AGUA / RESERVATORIO EM POLIESTER REFORCADO COM FIBRA DE VIDRO, 5000 LITROS, COM TAMPA</t>
  </si>
  <si>
    <t xml:space="preserve">LUMINARIA DE SOBREPOR EM CHAPA DE ACO PARA 1 LAMPADA FLUORESCENTE DE *36* W, ALETADA, COMPLETA (LAMPADA E REATOR INCLUSOS)                        </t>
  </si>
  <si>
    <t>LUMINARIA LED REFLETOR RETANGULAR BIVOLT, LUZ BRANCA, 50 W</t>
  </si>
  <si>
    <t>LUMINÁRIA DE EMERGÊNCIA, COM 30 LÂMPADAS LED DE 2 W, SEM REATOR - FORNECIMENTO E INSTALAÇÃO. AF_09/2024</t>
  </si>
  <si>
    <t>R. CID DOS SANTOS, S/N GLEBA II, SÃO VICENTE - SP</t>
  </si>
  <si>
    <t>8.2.3</t>
  </si>
  <si>
    <t>8.2.6</t>
  </si>
  <si>
    <t>17.2</t>
  </si>
  <si>
    <t>09.01.019</t>
  </si>
  <si>
    <t>18.11.021</t>
  </si>
  <si>
    <t>17.0</t>
  </si>
  <si>
    <t>16.1.3</t>
  </si>
  <si>
    <t>16.1.4</t>
  </si>
  <si>
    <t>16.1.5</t>
  </si>
  <si>
    <t>16.1.6</t>
  </si>
  <si>
    <t>16.1.7</t>
  </si>
  <si>
    <t>16.1.8</t>
  </si>
  <si>
    <t>16.1.9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</si>
  <si>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</si>
  <si>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</si>
  <si>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</si>
  <si>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</si>
  <si>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</si>
  <si>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</si>
  <si>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</si>
  <si>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</si>
  <si>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16.2.10</t>
  </si>
  <si>
    <t>Prefeitura do Município de São Vicente, 06 de Fevereiro de 2025</t>
  </si>
  <si>
    <t>DATA: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</si>
</sst>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_(* #,##0.00_);_(* \(#,##0.00\);_(* &quot;-&quot;??_);_(@_)"/>
    <numFmt numFmtId="165" formatCode="_(&quot;R$&quot;* #,##0_);_(&quot;R$&quot;* \(#,##0\);_(&quot;R$&quot;* &quot;-&quot;_);_(@_)"/>
    <numFmt numFmtId="166" formatCode="_(* #,##0.00_);_(* \(#,##0.00\);_(* \-??_);_(@_)"/>
    <numFmt numFmtId="167" formatCode="#,##0.00\ ;&quot; (&quot;#,##0.00\);&quot; -&quot;#\ ;@\ "/>
    <numFmt numFmtId="168" formatCode="#,##0.00&quot; &quot;;&quot;-&quot;#,##0.00&quot; &quot;;&quot; -&quot;#&quot; &quot;;@&quot; &quot;"/>
    <numFmt numFmtId="169" formatCode="&quot;R$&quot;\ #,##0.00"/>
    <numFmt numFmtId="170" formatCode="&quot;R$ &quot;#,##0.00"/>
    <numFmt numFmtId="171" formatCode="&quot;R$ &quot;#,##0.00_);\(&quot;R$ &quot;#,##0.0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5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b/>
      <sz val="34"/>
      <name val="Kunstler Script"/>
      <family val="4"/>
    </font>
    <font>
      <b/>
      <sz val="14"/>
      <name val="Arial"/>
      <family val="4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35"/>
      <name val="Kunstler Script"/>
      <family val="4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2"/>
        <bgColor indexed="47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0" fontId="2" fillId="0" borderId="0"/>
    <xf numFmtId="168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10" fillId="0" borderId="0" applyBorder="0" applyProtection="0"/>
    <xf numFmtId="0" fontId="11" fillId="0" borderId="0"/>
    <xf numFmtId="0" fontId="13" fillId="0" borderId="0"/>
    <xf numFmtId="43" fontId="2" fillId="0" borderId="0" applyFont="0" applyFill="0" applyBorder="0" applyAlignment="0" applyProtection="0"/>
    <xf numFmtId="42" fontId="2" fillId="0" borderId="0" applyFill="0" applyBorder="0" applyAlignment="0" applyProtection="0"/>
    <xf numFmtId="0" fontId="2" fillId="0" borderId="0"/>
    <xf numFmtId="0" fontId="2" fillId="0" borderId="0"/>
    <xf numFmtId="0" fontId="2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ill="0" applyBorder="0" applyAlignment="0" applyProtection="0"/>
  </cellStyleXfs>
  <cellXfs count="225">
    <xf numFmtId="0" fontId="0" fillId="0" borderId="0" xfId="0"/>
    <xf numFmtId="0" fontId="2" fillId="0" borderId="0" xfId="2"/>
    <xf numFmtId="4" fontId="2" fillId="0" borderId="0" xfId="2" applyNumberFormat="1"/>
    <xf numFmtId="0" fontId="2" fillId="0" borderId="0" xfId="2" applyAlignment="1">
      <alignment vertical="center"/>
    </xf>
    <xf numFmtId="0" fontId="9" fillId="0" borderId="0" xfId="2" applyFont="1"/>
    <xf numFmtId="167" fontId="2" fillId="0" borderId="0" xfId="2" applyNumberFormat="1"/>
    <xf numFmtId="4" fontId="6" fillId="0" borderId="0" xfId="4" applyNumberFormat="1" applyFont="1" applyAlignment="1">
      <alignment vertical="center" wrapText="1"/>
    </xf>
    <xf numFmtId="0" fontId="2" fillId="0" borderId="0" xfId="2" applyAlignment="1">
      <alignment horizontal="center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0" fontId="2" fillId="0" borderId="0" xfId="4" applyAlignment="1">
      <alignment horizontal="left" vertical="center" wrapText="1"/>
    </xf>
    <xf numFmtId="0" fontId="2" fillId="0" borderId="0" xfId="4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4" applyNumberFormat="1" applyFont="1" applyAlignment="1">
      <alignment horizontal="right" vertical="center" wrapText="1"/>
    </xf>
    <xf numFmtId="0" fontId="7" fillId="0" borderId="0" xfId="4" applyFont="1" applyAlignment="1">
      <alignment horizontal="right" vertical="center" wrapText="1"/>
    </xf>
    <xf numFmtId="4" fontId="6" fillId="0" borderId="0" xfId="5" applyNumberFormat="1" applyFont="1" applyFill="1" applyBorder="1" applyAlignment="1" applyProtection="1">
      <alignment horizontal="right" vertical="center" wrapText="1"/>
    </xf>
    <xf numFmtId="0" fontId="6" fillId="0" borderId="0" xfId="4" applyFont="1" applyAlignment="1">
      <alignment horizontal="center" vertical="center" wrapText="1"/>
    </xf>
    <xf numFmtId="4" fontId="7" fillId="0" borderId="0" xfId="4" applyNumberFormat="1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4" fontId="6" fillId="0" borderId="0" xfId="5" applyNumberFormat="1" applyFont="1" applyFill="1" applyBorder="1" applyAlignment="1" applyProtection="1">
      <alignment horizontal="right" vertical="center"/>
    </xf>
    <xf numFmtId="0" fontId="6" fillId="0" borderId="0" xfId="4" applyFont="1" applyAlignment="1">
      <alignment horizontal="center" vertical="center"/>
    </xf>
    <xf numFmtId="4" fontId="7" fillId="0" borderId="0" xfId="4" applyNumberFormat="1" applyFont="1" applyAlignment="1">
      <alignment vertical="center"/>
    </xf>
    <xf numFmtId="0" fontId="7" fillId="0" borderId="0" xfId="4" applyFont="1" applyAlignment="1">
      <alignment horizontal="left" vertical="center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167" fontId="6" fillId="0" borderId="0" xfId="4" applyNumberFormat="1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4" applyFont="1" applyAlignment="1">
      <alignment vertical="center" wrapText="1"/>
    </xf>
    <xf numFmtId="0" fontId="2" fillId="0" borderId="0" xfId="2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169" fontId="7" fillId="0" borderId="0" xfId="4" applyNumberFormat="1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4" fontId="19" fillId="0" borderId="0" xfId="0" applyNumberFormat="1" applyFont="1"/>
    <xf numFmtId="0" fontId="21" fillId="0" borderId="0" xfId="21"/>
    <xf numFmtId="9" fontId="21" fillId="0" borderId="0" xfId="21" applyNumberFormat="1"/>
    <xf numFmtId="0" fontId="2" fillId="0" borderId="0" xfId="2" applyAlignment="1">
      <alignment horizontal="left" vertical="center"/>
    </xf>
    <xf numFmtId="0" fontId="2" fillId="0" borderId="0" xfId="2" applyAlignment="1">
      <alignment horizontal="center" vertical="center"/>
    </xf>
    <xf numFmtId="4" fontId="2" fillId="0" borderId="0" xfId="2" applyNumberFormat="1" applyAlignment="1">
      <alignment vertical="center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2" applyFont="1" applyAlignment="1">
      <alignment vertical="center"/>
    </xf>
    <xf numFmtId="9" fontId="13" fillId="4" borderId="15" xfId="20" applyNumberFormat="1" applyFont="1" applyFill="1" applyBorder="1" applyAlignment="1">
      <alignment horizontal="right" vertical="center"/>
    </xf>
    <xf numFmtId="2" fontId="23" fillId="3" borderId="15" xfId="20" applyNumberFormat="1" applyFont="1" applyFill="1" applyBorder="1" applyAlignment="1">
      <alignment horizontal="left" vertical="center" wrapText="1"/>
    </xf>
    <xf numFmtId="0" fontId="4" fillId="3" borderId="15" xfId="20" applyFont="1" applyFill="1" applyBorder="1" applyAlignment="1">
      <alignment horizontal="center" vertical="center"/>
    </xf>
    <xf numFmtId="171" fontId="23" fillId="3" borderId="15" xfId="20" applyNumberFormat="1" applyFont="1" applyFill="1" applyBorder="1" applyAlignment="1">
      <alignment horizontal="right" vertical="center"/>
    </xf>
    <xf numFmtId="10" fontId="23" fillId="3" borderId="15" xfId="20" applyNumberFormat="1" applyFont="1" applyFill="1" applyBorder="1" applyAlignment="1">
      <alignment horizontal="right" vertical="center"/>
    </xf>
    <xf numFmtId="170" fontId="23" fillId="3" borderId="15" xfId="20" applyNumberFormat="1" applyFont="1" applyFill="1" applyBorder="1" applyAlignment="1">
      <alignment horizontal="right" vertical="center"/>
    </xf>
    <xf numFmtId="0" fontId="25" fillId="3" borderId="15" xfId="20" applyFont="1" applyFill="1" applyBorder="1" applyAlignment="1">
      <alignment vertical="center"/>
    </xf>
    <xf numFmtId="0" fontId="26" fillId="3" borderId="15" xfId="20" applyFont="1" applyFill="1" applyBorder="1" applyAlignment="1">
      <alignment vertical="center" wrapText="1"/>
    </xf>
    <xf numFmtId="170" fontId="25" fillId="3" borderId="15" xfId="20" applyNumberFormat="1" applyFont="1" applyFill="1" applyBorder="1" applyAlignment="1">
      <alignment horizontal="right" vertical="center"/>
    </xf>
    <xf numFmtId="10" fontId="25" fillId="3" borderId="15" xfId="20" applyNumberFormat="1" applyFont="1" applyFill="1" applyBorder="1" applyAlignment="1">
      <alignment horizontal="right" vertical="center"/>
    </xf>
    <xf numFmtId="170" fontId="22" fillId="3" borderId="15" xfId="20" applyNumberFormat="1" applyFont="1" applyFill="1" applyBorder="1" applyAlignment="1">
      <alignment horizontal="right" vertical="center"/>
    </xf>
    <xf numFmtId="10" fontId="22" fillId="3" borderId="15" xfId="20" applyNumberFormat="1" applyFont="1" applyFill="1" applyBorder="1" applyAlignment="1">
      <alignment horizontal="right" vertical="center"/>
    </xf>
    <xf numFmtId="0" fontId="21" fillId="3" borderId="0" xfId="21" applyFill="1"/>
    <xf numFmtId="0" fontId="26" fillId="5" borderId="15" xfId="20" applyFont="1" applyFill="1" applyBorder="1" applyAlignment="1">
      <alignment vertical="center"/>
    </xf>
    <xf numFmtId="0" fontId="26" fillId="5" borderId="15" xfId="20" applyFont="1" applyFill="1" applyBorder="1" applyAlignment="1">
      <alignment vertical="center" wrapText="1"/>
    </xf>
    <xf numFmtId="0" fontId="26" fillId="5" borderId="15" xfId="20" applyFont="1" applyFill="1" applyBorder="1" applyAlignment="1">
      <alignment horizontal="right" vertical="center"/>
    </xf>
    <xf numFmtId="0" fontId="13" fillId="5" borderId="15" xfId="20" applyFont="1" applyFill="1" applyBorder="1" applyAlignment="1">
      <alignment horizontal="right" vertical="center"/>
    </xf>
    <xf numFmtId="0" fontId="21" fillId="5" borderId="0" xfId="21" applyFill="1"/>
    <xf numFmtId="0" fontId="24" fillId="5" borderId="15" xfId="20" applyFont="1" applyFill="1" applyBorder="1" applyAlignment="1">
      <alignment horizontal="center" vertical="center"/>
    </xf>
    <xf numFmtId="0" fontId="24" fillId="5" borderId="15" xfId="20" applyFont="1" applyFill="1" applyBorder="1" applyAlignment="1">
      <alignment vertical="center" wrapText="1"/>
    </xf>
    <xf numFmtId="170" fontId="13" fillId="5" borderId="15" xfId="20" applyNumberFormat="1" applyFont="1" applyFill="1" applyBorder="1" applyAlignment="1">
      <alignment horizontal="right" vertical="center"/>
    </xf>
    <xf numFmtId="4" fontId="13" fillId="5" borderId="15" xfId="20" applyNumberFormat="1" applyFont="1" applyFill="1" applyBorder="1" applyAlignment="1">
      <alignment horizontal="right" vertical="center"/>
    </xf>
    <xf numFmtId="10" fontId="13" fillId="5" borderId="15" xfId="20" applyNumberFormat="1" applyFont="1" applyFill="1" applyBorder="1" applyAlignment="1">
      <alignment horizontal="right" vertical="center"/>
    </xf>
    <xf numFmtId="0" fontId="23" fillId="0" borderId="15" xfId="20" applyFont="1" applyBorder="1" applyAlignment="1">
      <alignment horizontal="center" vertical="center"/>
    </xf>
    <xf numFmtId="170" fontId="21" fillId="0" borderId="0" xfId="21" applyNumberFormat="1"/>
    <xf numFmtId="170" fontId="21" fillId="3" borderId="0" xfId="21" applyNumberFormat="1" applyFill="1"/>
    <xf numFmtId="10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6" fillId="0" borderId="0" xfId="2" applyFont="1" applyAlignment="1">
      <alignment horizontal="right" vertical="center"/>
    </xf>
    <xf numFmtId="0" fontId="30" fillId="7" borderId="32" xfId="4" applyFont="1" applyFill="1" applyBorder="1" applyAlignment="1">
      <alignment horizontal="left" vertical="center" wrapText="1"/>
    </xf>
    <xf numFmtId="0" fontId="30" fillId="7" borderId="31" xfId="4" applyFont="1" applyFill="1" applyBorder="1" applyAlignment="1">
      <alignment horizontal="center" vertical="center" wrapText="1"/>
    </xf>
    <xf numFmtId="4" fontId="29" fillId="7" borderId="31" xfId="5" applyNumberFormat="1" applyFont="1" applyFill="1" applyBorder="1" applyAlignment="1" applyProtection="1">
      <alignment horizontal="right" vertical="center" wrapText="1"/>
    </xf>
    <xf numFmtId="4" fontId="30" fillId="7" borderId="33" xfId="4" applyNumberFormat="1" applyFont="1" applyFill="1" applyBorder="1" applyAlignment="1">
      <alignment vertical="center" wrapText="1"/>
    </xf>
    <xf numFmtId="0" fontId="30" fillId="6" borderId="29" xfId="4" applyFont="1" applyFill="1" applyBorder="1" applyAlignment="1">
      <alignment horizontal="center" vertical="center" wrapText="1"/>
    </xf>
    <xf numFmtId="0" fontId="29" fillId="0" borderId="35" xfId="4" applyFont="1" applyBorder="1" applyAlignment="1">
      <alignment horizontal="center" vertical="center" wrapText="1"/>
    </xf>
    <xf numFmtId="0" fontId="29" fillId="0" borderId="36" xfId="4" applyFont="1" applyBorder="1" applyAlignment="1">
      <alignment horizontal="center" vertical="center" wrapText="1"/>
    </xf>
    <xf numFmtId="0" fontId="30" fillId="9" borderId="37" xfId="4" applyFont="1" applyFill="1" applyBorder="1" applyAlignment="1">
      <alignment horizontal="left" vertical="center" wrapText="1"/>
    </xf>
    <xf numFmtId="0" fontId="30" fillId="9" borderId="38" xfId="4" applyFont="1" applyFill="1" applyBorder="1" applyAlignment="1">
      <alignment horizontal="left" vertical="center" wrapText="1"/>
    </xf>
    <xf numFmtId="0" fontId="30" fillId="9" borderId="38" xfId="4" applyFont="1" applyFill="1" applyBorder="1" applyAlignment="1">
      <alignment horizontal="center" vertical="center" wrapText="1"/>
    </xf>
    <xf numFmtId="0" fontId="30" fillId="9" borderId="39" xfId="4" applyFont="1" applyFill="1" applyBorder="1" applyAlignment="1">
      <alignment horizontal="left" vertical="center" wrapText="1"/>
    </xf>
    <xf numFmtId="0" fontId="30" fillId="6" borderId="28" xfId="4" applyFont="1" applyFill="1" applyBorder="1" applyAlignment="1">
      <alignment horizontal="left" vertical="center" wrapText="1"/>
    </xf>
    <xf numFmtId="0" fontId="30" fillId="6" borderId="29" xfId="4" applyFont="1" applyFill="1" applyBorder="1" applyAlignment="1">
      <alignment horizontal="right" vertical="center" wrapText="1"/>
    </xf>
    <xf numFmtId="4" fontId="29" fillId="6" borderId="41" xfId="5" applyNumberFormat="1" applyFont="1" applyFill="1" applyBorder="1" applyAlignment="1" applyProtection="1">
      <alignment horizontal="right" vertical="center" wrapText="1"/>
    </xf>
    <xf numFmtId="0" fontId="29" fillId="6" borderId="41" xfId="4" applyFont="1" applyFill="1" applyBorder="1" applyAlignment="1">
      <alignment horizontal="center" vertical="center" wrapText="1"/>
    </xf>
    <xf numFmtId="4" fontId="30" fillId="6" borderId="42" xfId="4" applyNumberFormat="1" applyFont="1" applyFill="1" applyBorder="1" applyAlignment="1">
      <alignment vertical="center" wrapText="1"/>
    </xf>
    <xf numFmtId="0" fontId="30" fillId="0" borderId="28" xfId="4" applyFont="1" applyBorder="1" applyAlignment="1">
      <alignment horizontal="left" vertical="center" wrapText="1"/>
    </xf>
    <xf numFmtId="0" fontId="30" fillId="0" borderId="29" xfId="4" applyFont="1" applyBorder="1" applyAlignment="1">
      <alignment horizontal="left" vertical="center" wrapText="1"/>
    </xf>
    <xf numFmtId="0" fontId="29" fillId="0" borderId="29" xfId="4" applyFont="1" applyBorder="1" applyAlignment="1">
      <alignment horizontal="center" vertical="center" wrapText="1"/>
    </xf>
    <xf numFmtId="4" fontId="29" fillId="0" borderId="29" xfId="4" applyNumberFormat="1" applyFont="1" applyBorder="1" applyAlignment="1">
      <alignment horizontal="right" vertical="center" wrapText="1"/>
    </xf>
    <xf numFmtId="4" fontId="29" fillId="0" borderId="30" xfId="4" applyNumberFormat="1" applyFont="1" applyBorder="1" applyAlignment="1">
      <alignment vertical="center" wrapText="1"/>
    </xf>
    <xf numFmtId="4" fontId="29" fillId="0" borderId="36" xfId="4" applyNumberFormat="1" applyFont="1" applyBorder="1" applyAlignment="1">
      <alignment horizontal="right" vertical="center" wrapText="1"/>
    </xf>
    <xf numFmtId="0" fontId="29" fillId="0" borderId="36" xfId="2" applyFont="1" applyBorder="1" applyAlignment="1" applyProtection="1">
      <alignment vertical="center" wrapText="1"/>
      <protection locked="0"/>
    </xf>
    <xf numFmtId="0" fontId="29" fillId="0" borderId="35" xfId="0" applyFont="1" applyBorder="1" applyAlignment="1" applyProtection="1">
      <alignment vertical="center" wrapText="1"/>
      <protection locked="0"/>
    </xf>
    <xf numFmtId="4" fontId="29" fillId="0" borderId="35" xfId="4" applyNumberFormat="1" applyFont="1" applyBorder="1" applyAlignment="1">
      <alignment horizontal="right" vertical="center" wrapText="1"/>
    </xf>
    <xf numFmtId="0" fontId="29" fillId="0" borderId="36" xfId="0" applyFont="1" applyBorder="1" applyAlignment="1" applyProtection="1">
      <alignment vertical="center" wrapText="1"/>
      <protection locked="0"/>
    </xf>
    <xf numFmtId="0" fontId="29" fillId="0" borderId="34" xfId="4" applyFont="1" applyBorder="1" applyAlignment="1">
      <alignment horizontal="center" vertical="center" wrapText="1"/>
    </xf>
    <xf numFmtId="0" fontId="29" fillId="0" borderId="34" xfId="0" applyFont="1" applyBorder="1" applyAlignment="1">
      <alignment vertical="center" wrapText="1"/>
    </xf>
    <xf numFmtId="4" fontId="29" fillId="0" borderId="34" xfId="4" applyNumberFormat="1" applyFont="1" applyBorder="1" applyAlignment="1">
      <alignment horizontal="right" vertical="center" wrapText="1"/>
    </xf>
    <xf numFmtId="0" fontId="29" fillId="0" borderId="36" xfId="0" applyFont="1" applyBorder="1" applyAlignment="1">
      <alignment vertical="center" wrapText="1"/>
    </xf>
    <xf numFmtId="0" fontId="30" fillId="0" borderId="29" xfId="4" applyFont="1" applyBorder="1" applyAlignment="1">
      <alignment horizontal="center" vertical="center" wrapText="1"/>
    </xf>
    <xf numFmtId="0" fontId="29" fillId="0" borderId="50" xfId="4" applyFont="1" applyBorder="1" applyAlignment="1">
      <alignment horizontal="left" vertical="center" wrapText="1"/>
    </xf>
    <xf numFmtId="0" fontId="29" fillId="3" borderId="35" xfId="0" applyFont="1" applyFill="1" applyBorder="1" applyAlignment="1">
      <alignment vertical="center" wrapText="1"/>
    </xf>
    <xf numFmtId="4" fontId="31" fillId="0" borderId="0" xfId="2" applyNumberFormat="1" applyFont="1" applyAlignment="1">
      <alignment vertical="center"/>
    </xf>
    <xf numFmtId="0" fontId="30" fillId="9" borderId="32" xfId="4" applyFont="1" applyFill="1" applyBorder="1" applyAlignment="1">
      <alignment horizontal="left" vertical="center" wrapText="1"/>
    </xf>
    <xf numFmtId="0" fontId="30" fillId="9" borderId="31" xfId="4" applyFont="1" applyFill="1" applyBorder="1" applyAlignment="1">
      <alignment horizontal="left" vertical="center" wrapText="1"/>
    </xf>
    <xf numFmtId="0" fontId="30" fillId="9" borderId="31" xfId="4" applyFont="1" applyFill="1" applyBorder="1" applyAlignment="1">
      <alignment horizontal="center" vertical="center" wrapText="1"/>
    </xf>
    <xf numFmtId="0" fontId="30" fillId="9" borderId="31" xfId="4" applyFont="1" applyFill="1" applyBorder="1" applyAlignment="1">
      <alignment vertical="center" wrapText="1"/>
    </xf>
    <xf numFmtId="0" fontId="30" fillId="9" borderId="33" xfId="4" applyFont="1" applyFill="1" applyBorder="1" applyAlignment="1">
      <alignment vertical="center" wrapText="1"/>
    </xf>
    <xf numFmtId="0" fontId="30" fillId="0" borderId="29" xfId="0" applyFont="1" applyBorder="1" applyAlignment="1" applyProtection="1">
      <alignment vertical="center" wrapText="1"/>
      <protection locked="0"/>
    </xf>
    <xf numFmtId="4" fontId="30" fillId="0" borderId="29" xfId="4" applyNumberFormat="1" applyFont="1" applyBorder="1" applyAlignment="1">
      <alignment horizontal="right" vertical="center" wrapText="1"/>
    </xf>
    <xf numFmtId="167" fontId="30" fillId="0" borderId="30" xfId="4" applyNumberFormat="1" applyFont="1" applyBorder="1" applyAlignment="1">
      <alignment vertical="center" wrapText="1"/>
    </xf>
    <xf numFmtId="0" fontId="29" fillId="0" borderId="51" xfId="4" applyFont="1" applyBorder="1" applyAlignment="1">
      <alignment horizontal="left" vertical="center" wrapText="1"/>
    </xf>
    <xf numFmtId="0" fontId="29" fillId="0" borderId="34" xfId="0" applyFont="1" applyBorder="1" applyAlignment="1" applyProtection="1">
      <alignment vertical="center" wrapText="1"/>
      <protection locked="0"/>
    </xf>
    <xf numFmtId="4" fontId="29" fillId="0" borderId="34" xfId="0" applyNumberFormat="1" applyFont="1" applyBorder="1" applyAlignment="1" applyProtection="1">
      <alignment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4" fontId="29" fillId="0" borderId="17" xfId="4" applyNumberFormat="1" applyFont="1" applyBorder="1" applyAlignment="1">
      <alignment vertical="center" wrapText="1"/>
    </xf>
    <xf numFmtId="4" fontId="29" fillId="0" borderId="35" xfId="0" applyNumberFormat="1" applyFont="1" applyBorder="1" applyAlignment="1" applyProtection="1">
      <alignment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4" fontId="29" fillId="0" borderId="16" xfId="4" applyNumberFormat="1" applyFont="1" applyBorder="1" applyAlignment="1">
      <alignment vertical="center" wrapText="1"/>
    </xf>
    <xf numFmtId="4" fontId="29" fillId="0" borderId="22" xfId="4" applyNumberFormat="1" applyFont="1" applyBorder="1" applyAlignment="1">
      <alignment vertical="center" wrapText="1"/>
    </xf>
    <xf numFmtId="4" fontId="30" fillId="0" borderId="30" xfId="4" applyNumberFormat="1" applyFont="1" applyBorder="1" applyAlignment="1">
      <alignment vertical="center" wrapText="1"/>
    </xf>
    <xf numFmtId="0" fontId="29" fillId="3" borderId="35" xfId="0" applyFont="1" applyFill="1" applyBorder="1" applyAlignment="1" applyProtection="1">
      <alignment vertical="center" wrapText="1"/>
      <protection locked="0"/>
    </xf>
    <xf numFmtId="0" fontId="29" fillId="0" borderId="35" xfId="0" applyFont="1" applyBorder="1" applyAlignment="1">
      <alignment vertical="center" wrapText="1"/>
    </xf>
    <xf numFmtId="0" fontId="29" fillId="3" borderId="36" xfId="0" applyFont="1" applyFill="1" applyBorder="1" applyAlignment="1" applyProtection="1">
      <alignment vertical="center" wrapText="1"/>
      <protection locked="0"/>
    </xf>
    <xf numFmtId="0" fontId="29" fillId="3" borderId="34" xfId="0" applyFont="1" applyFill="1" applyBorder="1" applyAlignment="1" applyProtection="1">
      <alignment vertical="center" wrapText="1"/>
      <protection locked="0"/>
    </xf>
    <xf numFmtId="0" fontId="29" fillId="3" borderId="36" xfId="2" applyFont="1" applyFill="1" applyBorder="1" applyAlignment="1" applyProtection="1">
      <alignment vertical="center" wrapText="1"/>
      <protection locked="0"/>
    </xf>
    <xf numFmtId="49" fontId="2" fillId="0" borderId="17" xfId="2" applyNumberFormat="1" applyBorder="1" applyAlignment="1">
      <alignment horizontal="center" vertical="center" wrapText="1"/>
    </xf>
    <xf numFmtId="169" fontId="30" fillId="6" borderId="30" xfId="4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vertical="center"/>
    </xf>
    <xf numFmtId="167" fontId="2" fillId="0" borderId="0" xfId="2" applyNumberFormat="1" applyAlignment="1">
      <alignment vertical="center"/>
    </xf>
    <xf numFmtId="0" fontId="29" fillId="0" borderId="27" xfId="0" applyFont="1" applyBorder="1" applyAlignment="1">
      <alignment horizontal="left" vertical="center" wrapText="1"/>
    </xf>
    <xf numFmtId="4" fontId="2" fillId="0" borderId="16" xfId="2" applyNumberFormat="1" applyBorder="1" applyAlignment="1">
      <alignment horizontal="center" vertical="center" wrapText="1"/>
    </xf>
    <xf numFmtId="4" fontId="2" fillId="0" borderId="22" xfId="2" applyNumberFormat="1" applyBorder="1" applyAlignment="1">
      <alignment horizontal="center" vertical="center" wrapText="1"/>
    </xf>
    <xf numFmtId="0" fontId="29" fillId="0" borderId="46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center" vertical="center" wrapText="1"/>
    </xf>
    <xf numFmtId="43" fontId="29" fillId="0" borderId="27" xfId="23" applyFont="1" applyFill="1" applyBorder="1" applyAlignment="1">
      <alignment horizontal="right" vertical="center" wrapText="1"/>
    </xf>
    <xf numFmtId="4" fontId="29" fillId="0" borderId="27" xfId="0" applyNumberFormat="1" applyFont="1" applyBorder="1" applyAlignment="1">
      <alignment horizontal="right" vertical="center" wrapText="1"/>
    </xf>
    <xf numFmtId="4" fontId="29" fillId="0" borderId="47" xfId="0" applyNumberFormat="1" applyFont="1" applyBorder="1" applyAlignment="1">
      <alignment horizontal="right" vertical="center" wrapText="1"/>
    </xf>
    <xf numFmtId="0" fontId="29" fillId="0" borderId="48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left" vertical="center" wrapText="1"/>
    </xf>
    <xf numFmtId="43" fontId="29" fillId="0" borderId="40" xfId="23" applyFont="1" applyFill="1" applyBorder="1" applyAlignment="1">
      <alignment horizontal="right" vertical="center" wrapText="1"/>
    </xf>
    <xf numFmtId="4" fontId="29" fillId="0" borderId="40" xfId="0" applyNumberFormat="1" applyFont="1" applyBorder="1" applyAlignment="1">
      <alignment horizontal="right" vertical="center" wrapText="1"/>
    </xf>
    <xf numFmtId="4" fontId="29" fillId="0" borderId="49" xfId="0" applyNumberFormat="1" applyFont="1" applyBorder="1" applyAlignment="1">
      <alignment horizontal="right" vertical="center" wrapText="1"/>
    </xf>
    <xf numFmtId="0" fontId="30" fillId="8" borderId="28" xfId="4" applyFont="1" applyFill="1" applyBorder="1" applyAlignment="1">
      <alignment horizontal="center" vertical="center" wrapText="1"/>
    </xf>
    <xf numFmtId="0" fontId="30" fillId="8" borderId="29" xfId="4" applyFont="1" applyFill="1" applyBorder="1" applyAlignment="1">
      <alignment horizontal="center" vertical="center" wrapText="1"/>
    </xf>
    <xf numFmtId="0" fontId="30" fillId="6" borderId="29" xfId="4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7" fillId="0" borderId="21" xfId="2" applyFont="1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2" fillId="0" borderId="7" xfId="2" applyBorder="1" applyAlignment="1">
      <alignment horizontal="left" vertical="center"/>
    </xf>
    <xf numFmtId="0" fontId="7" fillId="0" borderId="23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0" xfId="2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4" fillId="3" borderId="15" xfId="20" applyFont="1" applyFill="1" applyBorder="1" applyAlignment="1">
      <alignment horizontal="center" vertical="center"/>
    </xf>
    <xf numFmtId="0" fontId="4" fillId="0" borderId="15" xfId="20" applyFont="1" applyBorder="1" applyAlignment="1">
      <alignment horizontal="center" vertical="center"/>
    </xf>
    <xf numFmtId="0" fontId="4" fillId="3" borderId="15" xfId="2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0" borderId="0" xfId="2" applyAlignment="1">
      <alignment horizontal="center" vertical="top" wrapText="1"/>
    </xf>
    <xf numFmtId="0" fontId="7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6" fillId="0" borderId="0" xfId="2" applyFont="1"/>
    <xf numFmtId="0" fontId="7" fillId="0" borderId="0" xfId="4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10" fontId="7" fillId="0" borderId="0" xfId="22" applyNumberFormat="1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28" fillId="0" borderId="0" xfId="2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" fontId="7" fillId="0" borderId="0" xfId="2" applyNumberFormat="1" applyFont="1" applyAlignment="1">
      <alignment horizontal="center" vertical="center" wrapText="1"/>
    </xf>
    <xf numFmtId="0" fontId="25" fillId="3" borderId="15" xfId="20" applyFont="1" applyFill="1" applyBorder="1" applyAlignment="1">
      <alignment horizontal="center" vertical="center"/>
    </xf>
    <xf numFmtId="0" fontId="2" fillId="0" borderId="15" xfId="2" applyBorder="1" applyAlignment="1">
      <alignment horizontal="center"/>
    </xf>
    <xf numFmtId="0" fontId="6" fillId="0" borderId="15" xfId="2" applyFont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49" fontId="2" fillId="0" borderId="15" xfId="2" applyNumberFormat="1" applyBorder="1" applyAlignment="1">
      <alignment horizontal="center" vertical="center" wrapText="1"/>
    </xf>
    <xf numFmtId="4" fontId="2" fillId="0" borderId="15" xfId="2" applyNumberForma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 wrapText="1"/>
    </xf>
  </cellXfs>
  <cellStyles count="26">
    <cellStyle name="Cancel" xfId="16" xr:uid="{00000000-0005-0000-0000-000000000000}"/>
    <cellStyle name="Excel Built-in Comma" xfId="7" xr:uid="{00000000-0005-0000-0000-000001000000}"/>
    <cellStyle name="Excel Built-in Normal" xfId="4" xr:uid="{00000000-0005-0000-0000-000002000000}"/>
    <cellStyle name="Excel Built-in Normal 1" xfId="6" xr:uid="{00000000-0005-0000-0000-000003000000}"/>
    <cellStyle name="Excel Built-in Normal 1 1" xfId="19" xr:uid="{3383ABF7-426C-4FEE-A055-6FE7A56A412A}"/>
    <cellStyle name="Hiperlink 2" xfId="13" xr:uid="{00000000-0005-0000-0000-000004000000}"/>
    <cellStyle name="Normal" xfId="0" builtinId="0"/>
    <cellStyle name="Normal 14" xfId="9" xr:uid="{00000000-0005-0000-0000-000006000000}"/>
    <cellStyle name="Normal 2" xfId="2" xr:uid="{00000000-0005-0000-0000-000007000000}"/>
    <cellStyle name="Normal 2 2 2" xfId="11" xr:uid="{00000000-0005-0000-0000-000008000000}"/>
    <cellStyle name="Normal 20" xfId="12" xr:uid="{00000000-0005-0000-0000-000009000000}"/>
    <cellStyle name="Normal 3" xfId="15" xr:uid="{00000000-0005-0000-0000-00000A000000}"/>
    <cellStyle name="Normal 4" xfId="10" xr:uid="{00000000-0005-0000-0000-00000B000000}"/>
    <cellStyle name="Normal_EMEIEF Julio de Faria Souza Jr" xfId="20" xr:uid="{784A0302-57F4-457A-BF85-F5BD117EC147}"/>
    <cellStyle name="Normal_Parque Ecologico Educativo - Jd Antunes - global -sintetico 2008" xfId="21" xr:uid="{A36B0C8F-B0F1-42AB-B033-1A576591E919}"/>
    <cellStyle name="Porcentagem" xfId="22" builtinId="5"/>
    <cellStyle name="Porcentagem 2" xfId="8" xr:uid="{00000000-0005-0000-0000-00000C000000}"/>
    <cellStyle name="Separador de milhares 2" xfId="3" xr:uid="{00000000-0005-0000-0000-00000D000000}"/>
    <cellStyle name="Separador de milhares 2 2" xfId="18" xr:uid="{7B030795-6702-4E5D-A599-F2BF3DB21DE1}"/>
    <cellStyle name="Separador de milhares 2 2 2" xfId="25" xr:uid="{6A15835B-EF09-4206-9354-FEED4D385B2F}"/>
    <cellStyle name="Texto Explicativo 2" xfId="14" xr:uid="{00000000-0005-0000-0000-00000E000000}"/>
    <cellStyle name="Vírgula" xfId="23" builtinId="3"/>
    <cellStyle name="Vírgula 2" xfId="1" xr:uid="{00000000-0005-0000-0000-00000F000000}"/>
    <cellStyle name="Vírgula 2 2" xfId="17" xr:uid="{4DB9BC75-6FF8-4F08-9B7B-0D0B893EE08A}"/>
    <cellStyle name="Vírgula 2 2 2" xfId="24" xr:uid="{19750959-78D2-44AE-A998-A679956BA7F0}"/>
    <cellStyle name="Vírgula 3" xfId="5" xr:uid="{00000000-0005-0000-0000-000010000000}"/>
  </cellStyles>
  <dxfs count="27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0C0C0"/>
      <color rgb="FFFFFFCC"/>
      <color rgb="FFFF66CC"/>
      <color rgb="FF66FF99"/>
      <color rgb="FFCC99FF"/>
      <color rgb="FFCC66FF"/>
      <color rgb="FFEEDDFF"/>
      <color rgb="FF66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1051560</xdr:colOff>
      <xdr:row>0</xdr:row>
      <xdr:rowOff>0</xdr:rowOff>
    </xdr:from>
    <xdr:to>
      <xdr:col>3</xdr:col>
      <xdr:colOff>920023</xdr:colOff>
      <xdr:row>1</xdr:row>
      <xdr:rowOff>411480</xdr:rowOff>
    </xdr:to>
    <xdr:pic>
      <xdr:nvPicPr>
        <xdr:cNvPr id="3" name="Imagem 2" descr="Braza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44980" y="0"/>
          <a:ext cx="937260" cy="914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874667</xdr:colOff>
      <xdr:row>0</xdr:row>
      <xdr:rowOff>149678</xdr:rowOff>
    </xdr:from>
    <xdr:to>
      <xdr:col>6</xdr:col>
      <xdr:colOff>496768</xdr:colOff>
      <xdr:row>1</xdr:row>
      <xdr:rowOff>561158</xdr:rowOff>
    </xdr:to>
    <xdr:pic>
      <xdr:nvPicPr>
        <xdr:cNvPr id="2" name="Imagem 1" descr="Brazao">
          <a:extLst>
            <a:ext uri="{FF2B5EF4-FFF2-40B4-BE49-F238E27FC236}">
              <a16:creationId xmlns:a16="http://schemas.microsoft.com/office/drawing/2014/main" id="{8C9510C8-81CF-4615-8FFC-DD2A6660E79F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23560" y="149678"/>
          <a:ext cx="911257" cy="91494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nt&#233;tic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FISICO FINANCEIRO"/>
    </sheetNames>
    <sheetDataSet>
      <sheetData sheetId="0">
        <row r="11">
          <cell r="D11" t="str">
            <v>PROJETOS COMPLEMENTARES</v>
          </cell>
        </row>
        <row r="18">
          <cell r="H18">
            <v>45562.080000000002</v>
          </cell>
        </row>
        <row r="19">
          <cell r="D19" t="str">
            <v>SERVÇOS INICIAIS</v>
          </cell>
        </row>
        <row r="31">
          <cell r="H31">
            <v>91351.56</v>
          </cell>
        </row>
        <row r="32">
          <cell r="D32" t="str">
            <v>FUNDAÇÃO</v>
          </cell>
        </row>
        <row r="48">
          <cell r="H48">
            <v>229400.91</v>
          </cell>
        </row>
        <row r="49">
          <cell r="D49" t="str">
            <v>ESTRUTURA</v>
          </cell>
        </row>
        <row r="78">
          <cell r="H78">
            <v>338587.63</v>
          </cell>
        </row>
        <row r="79">
          <cell r="D79" t="str">
            <v>ALVENARIA, VEDAÇÕES E DIVISÓRIAS</v>
          </cell>
        </row>
        <row r="92">
          <cell r="H92">
            <v>185189.58</v>
          </cell>
        </row>
        <row r="93">
          <cell r="D93" t="str">
            <v>COBERTURA</v>
          </cell>
        </row>
        <row r="105">
          <cell r="H105">
            <v>116607.58</v>
          </cell>
        </row>
        <row r="106">
          <cell r="D106" t="str">
            <v>IMPERMEABILIZAÇÃO</v>
          </cell>
        </row>
        <row r="110">
          <cell r="H110">
            <v>34278.71</v>
          </cell>
        </row>
        <row r="111">
          <cell r="D111" t="str">
            <v>ESQUADRIAS</v>
          </cell>
        </row>
        <row r="131">
          <cell r="H131">
            <v>229377.14</v>
          </cell>
        </row>
        <row r="132">
          <cell r="D132" t="str">
            <v>REVESTIMENTO</v>
          </cell>
        </row>
        <row r="158">
          <cell r="H158">
            <v>387402.73</v>
          </cell>
        </row>
        <row r="159">
          <cell r="D159" t="str">
            <v>LOUÇAS, METAIS E ACESSÓRIOS</v>
          </cell>
        </row>
        <row r="185">
          <cell r="H185">
            <v>83159.199999999997</v>
          </cell>
        </row>
        <row r="186">
          <cell r="D186" t="str">
            <v>INSTALAÇÕES HIDROSSANITÁRIAS</v>
          </cell>
        </row>
        <row r="290">
          <cell r="H290">
            <v>168477.62</v>
          </cell>
        </row>
        <row r="291">
          <cell r="D291" t="str">
            <v>INSTALAÇÕES ELÉTRICAS</v>
          </cell>
        </row>
        <row r="356">
          <cell r="H356">
            <v>194733.08</v>
          </cell>
        </row>
        <row r="357">
          <cell r="D357" t="str">
            <v>CLIMATIZAÇÃO</v>
          </cell>
        </row>
        <row r="372">
          <cell r="H372">
            <v>80701.89</v>
          </cell>
        </row>
        <row r="373">
          <cell r="D373" t="str">
            <v>REDE E TELEFONIA</v>
          </cell>
        </row>
        <row r="376">
          <cell r="H376">
            <v>3724.5</v>
          </cell>
        </row>
        <row r="377">
          <cell r="D377" t="str">
            <v>URBANIZAÇÃO</v>
          </cell>
        </row>
        <row r="381">
          <cell r="H381">
            <v>4870.71</v>
          </cell>
        </row>
        <row r="382">
          <cell r="D382" t="str">
            <v>MUROS</v>
          </cell>
        </row>
        <row r="404">
          <cell r="H404">
            <v>97497.41</v>
          </cell>
        </row>
        <row r="405">
          <cell r="D405" t="str">
            <v>SERVIÇOS COMPLEMENTARES</v>
          </cell>
        </row>
        <row r="408">
          <cell r="H408">
            <v>13548.14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6"/>
  <sheetViews>
    <sheetView showGridLines="0" tabSelected="1" view="pageBreakPreview" topLeftCell="A401" zoomScale="85" zoomScaleNormal="100" zoomScaleSheetLayoutView="85" workbookViewId="0">
      <selection activeCell="H417" sqref="A1:H417"/>
    </sheetView>
  </sheetViews>
  <sheetFormatPr defaultColWidth="8.42578125" defaultRowHeight="12.75" x14ac:dyDescent="0.2"/>
  <cols>
    <col min="1" max="1" width="8.5703125" style="44" bestFit="1" customWidth="1"/>
    <col min="2" max="2" width="15.28515625" style="45" bestFit="1" customWidth="1"/>
    <col min="3" max="3" width="13.85546875" style="45" bestFit="1" customWidth="1"/>
    <col min="4" max="4" width="87.85546875" style="3" customWidth="1"/>
    <col min="5" max="5" width="9.42578125" style="3" bestFit="1" customWidth="1"/>
    <col min="6" max="6" width="10.7109375" style="3" bestFit="1" customWidth="1"/>
    <col min="7" max="7" width="12.5703125" style="46" bestFit="1" customWidth="1"/>
    <col min="8" max="8" width="22.42578125" style="46" customWidth="1"/>
    <col min="9" max="9" width="10.5703125" style="1" customWidth="1"/>
    <col min="10" max="10" width="23.140625" style="1" customWidth="1"/>
    <col min="11" max="11" width="19.140625" style="1" customWidth="1"/>
    <col min="12" max="248" width="8.42578125" style="1"/>
    <col min="249" max="249" width="8.85546875" style="1" customWidth="1"/>
    <col min="250" max="250" width="81" style="1" customWidth="1"/>
    <col min="251" max="251" width="8.5703125" style="1" customWidth="1"/>
    <col min="252" max="252" width="16.85546875" style="1" customWidth="1"/>
    <col min="253" max="253" width="16" style="1" customWidth="1"/>
    <col min="254" max="254" width="20.140625" style="1" customWidth="1"/>
    <col min="255" max="255" width="20" style="1" customWidth="1"/>
    <col min="256" max="256" width="17.28515625" style="1" customWidth="1"/>
    <col min="257" max="257" width="0" style="1" hidden="1" customWidth="1"/>
    <col min="258" max="258" width="1.5703125" style="1" customWidth="1"/>
    <col min="259" max="260" width="8.42578125" style="1"/>
    <col min="261" max="261" width="12.42578125" style="1" bestFit="1" customWidth="1"/>
    <col min="262" max="265" width="8.42578125" style="1"/>
    <col min="266" max="266" width="57" style="1" customWidth="1"/>
    <col min="267" max="504" width="8.42578125" style="1"/>
    <col min="505" max="505" width="8.85546875" style="1" customWidth="1"/>
    <col min="506" max="506" width="81" style="1" customWidth="1"/>
    <col min="507" max="507" width="8.5703125" style="1" customWidth="1"/>
    <col min="508" max="508" width="16.85546875" style="1" customWidth="1"/>
    <col min="509" max="509" width="16" style="1" customWidth="1"/>
    <col min="510" max="510" width="20.140625" style="1" customWidth="1"/>
    <col min="511" max="511" width="20" style="1" customWidth="1"/>
    <col min="512" max="512" width="17.28515625" style="1" customWidth="1"/>
    <col min="513" max="513" width="0" style="1" hidden="1" customWidth="1"/>
    <col min="514" max="514" width="1.5703125" style="1" customWidth="1"/>
    <col min="515" max="516" width="8.42578125" style="1"/>
    <col min="517" max="517" width="12.42578125" style="1" bestFit="1" customWidth="1"/>
    <col min="518" max="521" width="8.42578125" style="1"/>
    <col min="522" max="522" width="57" style="1" customWidth="1"/>
    <col min="523" max="760" width="8.42578125" style="1"/>
    <col min="761" max="761" width="8.85546875" style="1" customWidth="1"/>
    <col min="762" max="762" width="81" style="1" customWidth="1"/>
    <col min="763" max="763" width="8.5703125" style="1" customWidth="1"/>
    <col min="764" max="764" width="16.85546875" style="1" customWidth="1"/>
    <col min="765" max="765" width="16" style="1" customWidth="1"/>
    <col min="766" max="766" width="20.140625" style="1" customWidth="1"/>
    <col min="767" max="767" width="20" style="1" customWidth="1"/>
    <col min="768" max="768" width="17.28515625" style="1" customWidth="1"/>
    <col min="769" max="769" width="0" style="1" hidden="1" customWidth="1"/>
    <col min="770" max="770" width="1.5703125" style="1" customWidth="1"/>
    <col min="771" max="772" width="8.42578125" style="1"/>
    <col min="773" max="773" width="12.42578125" style="1" bestFit="1" customWidth="1"/>
    <col min="774" max="777" width="8.42578125" style="1"/>
    <col min="778" max="778" width="57" style="1" customWidth="1"/>
    <col min="779" max="1016" width="8.42578125" style="1"/>
    <col min="1017" max="1017" width="8.85546875" style="1" customWidth="1"/>
    <col min="1018" max="1018" width="81" style="1" customWidth="1"/>
    <col min="1019" max="1019" width="8.5703125" style="1" customWidth="1"/>
    <col min="1020" max="1020" width="16.85546875" style="1" customWidth="1"/>
    <col min="1021" max="1021" width="16" style="1" customWidth="1"/>
    <col min="1022" max="1022" width="20.140625" style="1" customWidth="1"/>
    <col min="1023" max="1023" width="20" style="1" customWidth="1"/>
    <col min="1024" max="1024" width="17.28515625" style="1" customWidth="1"/>
    <col min="1025" max="1025" width="0" style="1" hidden="1" customWidth="1"/>
    <col min="1026" max="1026" width="1.5703125" style="1" customWidth="1"/>
    <col min="1027" max="1028" width="8.42578125" style="1"/>
    <col min="1029" max="1029" width="12.42578125" style="1" bestFit="1" customWidth="1"/>
    <col min="1030" max="1033" width="8.42578125" style="1"/>
    <col min="1034" max="1034" width="57" style="1" customWidth="1"/>
    <col min="1035" max="1272" width="8.42578125" style="1"/>
    <col min="1273" max="1273" width="8.85546875" style="1" customWidth="1"/>
    <col min="1274" max="1274" width="81" style="1" customWidth="1"/>
    <col min="1275" max="1275" width="8.5703125" style="1" customWidth="1"/>
    <col min="1276" max="1276" width="16.85546875" style="1" customWidth="1"/>
    <col min="1277" max="1277" width="16" style="1" customWidth="1"/>
    <col min="1278" max="1278" width="20.140625" style="1" customWidth="1"/>
    <col min="1279" max="1279" width="20" style="1" customWidth="1"/>
    <col min="1280" max="1280" width="17.28515625" style="1" customWidth="1"/>
    <col min="1281" max="1281" width="0" style="1" hidden="1" customWidth="1"/>
    <col min="1282" max="1282" width="1.5703125" style="1" customWidth="1"/>
    <col min="1283" max="1284" width="8.42578125" style="1"/>
    <col min="1285" max="1285" width="12.42578125" style="1" bestFit="1" customWidth="1"/>
    <col min="1286" max="1289" width="8.42578125" style="1"/>
    <col min="1290" max="1290" width="57" style="1" customWidth="1"/>
    <col min="1291" max="1528" width="8.42578125" style="1"/>
    <col min="1529" max="1529" width="8.85546875" style="1" customWidth="1"/>
    <col min="1530" max="1530" width="81" style="1" customWidth="1"/>
    <col min="1531" max="1531" width="8.5703125" style="1" customWidth="1"/>
    <col min="1532" max="1532" width="16.85546875" style="1" customWidth="1"/>
    <col min="1533" max="1533" width="16" style="1" customWidth="1"/>
    <col min="1534" max="1534" width="20.140625" style="1" customWidth="1"/>
    <col min="1535" max="1535" width="20" style="1" customWidth="1"/>
    <col min="1536" max="1536" width="17.28515625" style="1" customWidth="1"/>
    <col min="1537" max="1537" width="0" style="1" hidden="1" customWidth="1"/>
    <col min="1538" max="1538" width="1.5703125" style="1" customWidth="1"/>
    <col min="1539" max="1540" width="8.42578125" style="1"/>
    <col min="1541" max="1541" width="12.42578125" style="1" bestFit="1" customWidth="1"/>
    <col min="1542" max="1545" width="8.42578125" style="1"/>
    <col min="1546" max="1546" width="57" style="1" customWidth="1"/>
    <col min="1547" max="1784" width="8.42578125" style="1"/>
    <col min="1785" max="1785" width="8.85546875" style="1" customWidth="1"/>
    <col min="1786" max="1786" width="81" style="1" customWidth="1"/>
    <col min="1787" max="1787" width="8.5703125" style="1" customWidth="1"/>
    <col min="1788" max="1788" width="16.85546875" style="1" customWidth="1"/>
    <col min="1789" max="1789" width="16" style="1" customWidth="1"/>
    <col min="1790" max="1790" width="20.140625" style="1" customWidth="1"/>
    <col min="1791" max="1791" width="20" style="1" customWidth="1"/>
    <col min="1792" max="1792" width="17.28515625" style="1" customWidth="1"/>
    <col min="1793" max="1793" width="0" style="1" hidden="1" customWidth="1"/>
    <col min="1794" max="1794" width="1.5703125" style="1" customWidth="1"/>
    <col min="1795" max="1796" width="8.42578125" style="1"/>
    <col min="1797" max="1797" width="12.42578125" style="1" bestFit="1" customWidth="1"/>
    <col min="1798" max="1801" width="8.42578125" style="1"/>
    <col min="1802" max="1802" width="57" style="1" customWidth="1"/>
    <col min="1803" max="2040" width="8.42578125" style="1"/>
    <col min="2041" max="2041" width="8.85546875" style="1" customWidth="1"/>
    <col min="2042" max="2042" width="81" style="1" customWidth="1"/>
    <col min="2043" max="2043" width="8.5703125" style="1" customWidth="1"/>
    <col min="2044" max="2044" width="16.85546875" style="1" customWidth="1"/>
    <col min="2045" max="2045" width="16" style="1" customWidth="1"/>
    <col min="2046" max="2046" width="20.140625" style="1" customWidth="1"/>
    <col min="2047" max="2047" width="20" style="1" customWidth="1"/>
    <col min="2048" max="2048" width="17.28515625" style="1" customWidth="1"/>
    <col min="2049" max="2049" width="0" style="1" hidden="1" customWidth="1"/>
    <col min="2050" max="2050" width="1.5703125" style="1" customWidth="1"/>
    <col min="2051" max="2052" width="8.42578125" style="1"/>
    <col min="2053" max="2053" width="12.42578125" style="1" bestFit="1" customWidth="1"/>
    <col min="2054" max="2057" width="8.42578125" style="1"/>
    <col min="2058" max="2058" width="57" style="1" customWidth="1"/>
    <col min="2059" max="2296" width="8.42578125" style="1"/>
    <col min="2297" max="2297" width="8.85546875" style="1" customWidth="1"/>
    <col min="2298" max="2298" width="81" style="1" customWidth="1"/>
    <col min="2299" max="2299" width="8.5703125" style="1" customWidth="1"/>
    <col min="2300" max="2300" width="16.85546875" style="1" customWidth="1"/>
    <col min="2301" max="2301" width="16" style="1" customWidth="1"/>
    <col min="2302" max="2302" width="20.140625" style="1" customWidth="1"/>
    <col min="2303" max="2303" width="20" style="1" customWidth="1"/>
    <col min="2304" max="2304" width="17.28515625" style="1" customWidth="1"/>
    <col min="2305" max="2305" width="0" style="1" hidden="1" customWidth="1"/>
    <col min="2306" max="2306" width="1.5703125" style="1" customWidth="1"/>
    <col min="2307" max="2308" width="8.42578125" style="1"/>
    <col min="2309" max="2309" width="12.42578125" style="1" bestFit="1" customWidth="1"/>
    <col min="2310" max="2313" width="8.42578125" style="1"/>
    <col min="2314" max="2314" width="57" style="1" customWidth="1"/>
    <col min="2315" max="2552" width="8.42578125" style="1"/>
    <col min="2553" max="2553" width="8.85546875" style="1" customWidth="1"/>
    <col min="2554" max="2554" width="81" style="1" customWidth="1"/>
    <col min="2555" max="2555" width="8.5703125" style="1" customWidth="1"/>
    <col min="2556" max="2556" width="16.85546875" style="1" customWidth="1"/>
    <col min="2557" max="2557" width="16" style="1" customWidth="1"/>
    <col min="2558" max="2558" width="20.140625" style="1" customWidth="1"/>
    <col min="2559" max="2559" width="20" style="1" customWidth="1"/>
    <col min="2560" max="2560" width="17.28515625" style="1" customWidth="1"/>
    <col min="2561" max="2561" width="0" style="1" hidden="1" customWidth="1"/>
    <col min="2562" max="2562" width="1.5703125" style="1" customWidth="1"/>
    <col min="2563" max="2564" width="8.42578125" style="1"/>
    <col min="2565" max="2565" width="12.42578125" style="1" bestFit="1" customWidth="1"/>
    <col min="2566" max="2569" width="8.42578125" style="1"/>
    <col min="2570" max="2570" width="57" style="1" customWidth="1"/>
    <col min="2571" max="2808" width="8.42578125" style="1"/>
    <col min="2809" max="2809" width="8.85546875" style="1" customWidth="1"/>
    <col min="2810" max="2810" width="81" style="1" customWidth="1"/>
    <col min="2811" max="2811" width="8.5703125" style="1" customWidth="1"/>
    <col min="2812" max="2812" width="16.85546875" style="1" customWidth="1"/>
    <col min="2813" max="2813" width="16" style="1" customWidth="1"/>
    <col min="2814" max="2814" width="20.140625" style="1" customWidth="1"/>
    <col min="2815" max="2815" width="20" style="1" customWidth="1"/>
    <col min="2816" max="2816" width="17.28515625" style="1" customWidth="1"/>
    <col min="2817" max="2817" width="0" style="1" hidden="1" customWidth="1"/>
    <col min="2818" max="2818" width="1.5703125" style="1" customWidth="1"/>
    <col min="2819" max="2820" width="8.42578125" style="1"/>
    <col min="2821" max="2821" width="12.42578125" style="1" bestFit="1" customWidth="1"/>
    <col min="2822" max="2825" width="8.42578125" style="1"/>
    <col min="2826" max="2826" width="57" style="1" customWidth="1"/>
    <col min="2827" max="3064" width="8.42578125" style="1"/>
    <col min="3065" max="3065" width="8.85546875" style="1" customWidth="1"/>
    <col min="3066" max="3066" width="81" style="1" customWidth="1"/>
    <col min="3067" max="3067" width="8.5703125" style="1" customWidth="1"/>
    <col min="3068" max="3068" width="16.85546875" style="1" customWidth="1"/>
    <col min="3069" max="3069" width="16" style="1" customWidth="1"/>
    <col min="3070" max="3070" width="20.140625" style="1" customWidth="1"/>
    <col min="3071" max="3071" width="20" style="1" customWidth="1"/>
    <col min="3072" max="3072" width="17.28515625" style="1" customWidth="1"/>
    <col min="3073" max="3073" width="0" style="1" hidden="1" customWidth="1"/>
    <col min="3074" max="3074" width="1.5703125" style="1" customWidth="1"/>
    <col min="3075" max="3076" width="8.42578125" style="1"/>
    <col min="3077" max="3077" width="12.42578125" style="1" bestFit="1" customWidth="1"/>
    <col min="3078" max="3081" width="8.42578125" style="1"/>
    <col min="3082" max="3082" width="57" style="1" customWidth="1"/>
    <col min="3083" max="3320" width="8.42578125" style="1"/>
    <col min="3321" max="3321" width="8.85546875" style="1" customWidth="1"/>
    <col min="3322" max="3322" width="81" style="1" customWidth="1"/>
    <col min="3323" max="3323" width="8.5703125" style="1" customWidth="1"/>
    <col min="3324" max="3324" width="16.85546875" style="1" customWidth="1"/>
    <col min="3325" max="3325" width="16" style="1" customWidth="1"/>
    <col min="3326" max="3326" width="20.140625" style="1" customWidth="1"/>
    <col min="3327" max="3327" width="20" style="1" customWidth="1"/>
    <col min="3328" max="3328" width="17.28515625" style="1" customWidth="1"/>
    <col min="3329" max="3329" width="0" style="1" hidden="1" customWidth="1"/>
    <col min="3330" max="3330" width="1.5703125" style="1" customWidth="1"/>
    <col min="3331" max="3332" width="8.42578125" style="1"/>
    <col min="3333" max="3333" width="12.42578125" style="1" bestFit="1" customWidth="1"/>
    <col min="3334" max="3337" width="8.42578125" style="1"/>
    <col min="3338" max="3338" width="57" style="1" customWidth="1"/>
    <col min="3339" max="3576" width="8.42578125" style="1"/>
    <col min="3577" max="3577" width="8.85546875" style="1" customWidth="1"/>
    <col min="3578" max="3578" width="81" style="1" customWidth="1"/>
    <col min="3579" max="3579" width="8.5703125" style="1" customWidth="1"/>
    <col min="3580" max="3580" width="16.85546875" style="1" customWidth="1"/>
    <col min="3581" max="3581" width="16" style="1" customWidth="1"/>
    <col min="3582" max="3582" width="20.140625" style="1" customWidth="1"/>
    <col min="3583" max="3583" width="20" style="1" customWidth="1"/>
    <col min="3584" max="3584" width="17.28515625" style="1" customWidth="1"/>
    <col min="3585" max="3585" width="0" style="1" hidden="1" customWidth="1"/>
    <col min="3586" max="3586" width="1.5703125" style="1" customWidth="1"/>
    <col min="3587" max="3588" width="8.42578125" style="1"/>
    <col min="3589" max="3589" width="12.42578125" style="1" bestFit="1" customWidth="1"/>
    <col min="3590" max="3593" width="8.42578125" style="1"/>
    <col min="3594" max="3594" width="57" style="1" customWidth="1"/>
    <col min="3595" max="3832" width="8.42578125" style="1"/>
    <col min="3833" max="3833" width="8.85546875" style="1" customWidth="1"/>
    <col min="3834" max="3834" width="81" style="1" customWidth="1"/>
    <col min="3835" max="3835" width="8.5703125" style="1" customWidth="1"/>
    <col min="3836" max="3836" width="16.85546875" style="1" customWidth="1"/>
    <col min="3837" max="3837" width="16" style="1" customWidth="1"/>
    <col min="3838" max="3838" width="20.140625" style="1" customWidth="1"/>
    <col min="3839" max="3839" width="20" style="1" customWidth="1"/>
    <col min="3840" max="3840" width="17.28515625" style="1" customWidth="1"/>
    <col min="3841" max="3841" width="0" style="1" hidden="1" customWidth="1"/>
    <col min="3842" max="3842" width="1.5703125" style="1" customWidth="1"/>
    <col min="3843" max="3844" width="8.42578125" style="1"/>
    <col min="3845" max="3845" width="12.42578125" style="1" bestFit="1" customWidth="1"/>
    <col min="3846" max="3849" width="8.42578125" style="1"/>
    <col min="3850" max="3850" width="57" style="1" customWidth="1"/>
    <col min="3851" max="4088" width="8.42578125" style="1"/>
    <col min="4089" max="4089" width="8.85546875" style="1" customWidth="1"/>
    <col min="4090" max="4090" width="81" style="1" customWidth="1"/>
    <col min="4091" max="4091" width="8.5703125" style="1" customWidth="1"/>
    <col min="4092" max="4092" width="16.85546875" style="1" customWidth="1"/>
    <col min="4093" max="4093" width="16" style="1" customWidth="1"/>
    <col min="4094" max="4094" width="20.140625" style="1" customWidth="1"/>
    <col min="4095" max="4095" width="20" style="1" customWidth="1"/>
    <col min="4096" max="4096" width="17.28515625" style="1" customWidth="1"/>
    <col min="4097" max="4097" width="0" style="1" hidden="1" customWidth="1"/>
    <col min="4098" max="4098" width="1.5703125" style="1" customWidth="1"/>
    <col min="4099" max="4100" width="8.42578125" style="1"/>
    <col min="4101" max="4101" width="12.42578125" style="1" bestFit="1" customWidth="1"/>
    <col min="4102" max="4105" width="8.42578125" style="1"/>
    <col min="4106" max="4106" width="57" style="1" customWidth="1"/>
    <col min="4107" max="4344" width="8.42578125" style="1"/>
    <col min="4345" max="4345" width="8.85546875" style="1" customWidth="1"/>
    <col min="4346" max="4346" width="81" style="1" customWidth="1"/>
    <col min="4347" max="4347" width="8.5703125" style="1" customWidth="1"/>
    <col min="4348" max="4348" width="16.85546875" style="1" customWidth="1"/>
    <col min="4349" max="4349" width="16" style="1" customWidth="1"/>
    <col min="4350" max="4350" width="20.140625" style="1" customWidth="1"/>
    <col min="4351" max="4351" width="20" style="1" customWidth="1"/>
    <col min="4352" max="4352" width="17.28515625" style="1" customWidth="1"/>
    <col min="4353" max="4353" width="0" style="1" hidden="1" customWidth="1"/>
    <col min="4354" max="4354" width="1.5703125" style="1" customWidth="1"/>
    <col min="4355" max="4356" width="8.42578125" style="1"/>
    <col min="4357" max="4357" width="12.42578125" style="1" bestFit="1" customWidth="1"/>
    <col min="4358" max="4361" width="8.42578125" style="1"/>
    <col min="4362" max="4362" width="57" style="1" customWidth="1"/>
    <col min="4363" max="4600" width="8.42578125" style="1"/>
    <col min="4601" max="4601" width="8.85546875" style="1" customWidth="1"/>
    <col min="4602" max="4602" width="81" style="1" customWidth="1"/>
    <col min="4603" max="4603" width="8.5703125" style="1" customWidth="1"/>
    <col min="4604" max="4604" width="16.85546875" style="1" customWidth="1"/>
    <col min="4605" max="4605" width="16" style="1" customWidth="1"/>
    <col min="4606" max="4606" width="20.140625" style="1" customWidth="1"/>
    <col min="4607" max="4607" width="20" style="1" customWidth="1"/>
    <col min="4608" max="4608" width="17.28515625" style="1" customWidth="1"/>
    <col min="4609" max="4609" width="0" style="1" hidden="1" customWidth="1"/>
    <col min="4610" max="4610" width="1.5703125" style="1" customWidth="1"/>
    <col min="4611" max="4612" width="8.42578125" style="1"/>
    <col min="4613" max="4613" width="12.42578125" style="1" bestFit="1" customWidth="1"/>
    <col min="4614" max="4617" width="8.42578125" style="1"/>
    <col min="4618" max="4618" width="57" style="1" customWidth="1"/>
    <col min="4619" max="4856" width="8.42578125" style="1"/>
    <col min="4857" max="4857" width="8.85546875" style="1" customWidth="1"/>
    <col min="4858" max="4858" width="81" style="1" customWidth="1"/>
    <col min="4859" max="4859" width="8.5703125" style="1" customWidth="1"/>
    <col min="4860" max="4860" width="16.85546875" style="1" customWidth="1"/>
    <col min="4861" max="4861" width="16" style="1" customWidth="1"/>
    <col min="4862" max="4862" width="20.140625" style="1" customWidth="1"/>
    <col min="4863" max="4863" width="20" style="1" customWidth="1"/>
    <col min="4864" max="4864" width="17.28515625" style="1" customWidth="1"/>
    <col min="4865" max="4865" width="0" style="1" hidden="1" customWidth="1"/>
    <col min="4866" max="4866" width="1.5703125" style="1" customWidth="1"/>
    <col min="4867" max="4868" width="8.42578125" style="1"/>
    <col min="4869" max="4869" width="12.42578125" style="1" bestFit="1" customWidth="1"/>
    <col min="4870" max="4873" width="8.42578125" style="1"/>
    <col min="4874" max="4874" width="57" style="1" customWidth="1"/>
    <col min="4875" max="5112" width="8.42578125" style="1"/>
    <col min="5113" max="5113" width="8.85546875" style="1" customWidth="1"/>
    <col min="5114" max="5114" width="81" style="1" customWidth="1"/>
    <col min="5115" max="5115" width="8.5703125" style="1" customWidth="1"/>
    <col min="5116" max="5116" width="16.85546875" style="1" customWidth="1"/>
    <col min="5117" max="5117" width="16" style="1" customWidth="1"/>
    <col min="5118" max="5118" width="20.140625" style="1" customWidth="1"/>
    <col min="5119" max="5119" width="20" style="1" customWidth="1"/>
    <col min="5120" max="5120" width="17.28515625" style="1" customWidth="1"/>
    <col min="5121" max="5121" width="0" style="1" hidden="1" customWidth="1"/>
    <col min="5122" max="5122" width="1.5703125" style="1" customWidth="1"/>
    <col min="5123" max="5124" width="8.42578125" style="1"/>
    <col min="5125" max="5125" width="12.42578125" style="1" bestFit="1" customWidth="1"/>
    <col min="5126" max="5129" width="8.42578125" style="1"/>
    <col min="5130" max="5130" width="57" style="1" customWidth="1"/>
    <col min="5131" max="5368" width="8.42578125" style="1"/>
    <col min="5369" max="5369" width="8.85546875" style="1" customWidth="1"/>
    <col min="5370" max="5370" width="81" style="1" customWidth="1"/>
    <col min="5371" max="5371" width="8.5703125" style="1" customWidth="1"/>
    <col min="5372" max="5372" width="16.85546875" style="1" customWidth="1"/>
    <col min="5373" max="5373" width="16" style="1" customWidth="1"/>
    <col min="5374" max="5374" width="20.140625" style="1" customWidth="1"/>
    <col min="5375" max="5375" width="20" style="1" customWidth="1"/>
    <col min="5376" max="5376" width="17.28515625" style="1" customWidth="1"/>
    <col min="5377" max="5377" width="0" style="1" hidden="1" customWidth="1"/>
    <col min="5378" max="5378" width="1.5703125" style="1" customWidth="1"/>
    <col min="5379" max="5380" width="8.42578125" style="1"/>
    <col min="5381" max="5381" width="12.42578125" style="1" bestFit="1" customWidth="1"/>
    <col min="5382" max="5385" width="8.42578125" style="1"/>
    <col min="5386" max="5386" width="57" style="1" customWidth="1"/>
    <col min="5387" max="5624" width="8.42578125" style="1"/>
    <col min="5625" max="5625" width="8.85546875" style="1" customWidth="1"/>
    <col min="5626" max="5626" width="81" style="1" customWidth="1"/>
    <col min="5627" max="5627" width="8.5703125" style="1" customWidth="1"/>
    <col min="5628" max="5628" width="16.85546875" style="1" customWidth="1"/>
    <col min="5629" max="5629" width="16" style="1" customWidth="1"/>
    <col min="5630" max="5630" width="20.140625" style="1" customWidth="1"/>
    <col min="5631" max="5631" width="20" style="1" customWidth="1"/>
    <col min="5632" max="5632" width="17.28515625" style="1" customWidth="1"/>
    <col min="5633" max="5633" width="0" style="1" hidden="1" customWidth="1"/>
    <col min="5634" max="5634" width="1.5703125" style="1" customWidth="1"/>
    <col min="5635" max="5636" width="8.42578125" style="1"/>
    <col min="5637" max="5637" width="12.42578125" style="1" bestFit="1" customWidth="1"/>
    <col min="5638" max="5641" width="8.42578125" style="1"/>
    <col min="5642" max="5642" width="57" style="1" customWidth="1"/>
    <col min="5643" max="5880" width="8.42578125" style="1"/>
    <col min="5881" max="5881" width="8.85546875" style="1" customWidth="1"/>
    <col min="5882" max="5882" width="81" style="1" customWidth="1"/>
    <col min="5883" max="5883" width="8.5703125" style="1" customWidth="1"/>
    <col min="5884" max="5884" width="16.85546875" style="1" customWidth="1"/>
    <col min="5885" max="5885" width="16" style="1" customWidth="1"/>
    <col min="5886" max="5886" width="20.140625" style="1" customWidth="1"/>
    <col min="5887" max="5887" width="20" style="1" customWidth="1"/>
    <col min="5888" max="5888" width="17.28515625" style="1" customWidth="1"/>
    <col min="5889" max="5889" width="0" style="1" hidden="1" customWidth="1"/>
    <col min="5890" max="5890" width="1.5703125" style="1" customWidth="1"/>
    <col min="5891" max="5892" width="8.42578125" style="1"/>
    <col min="5893" max="5893" width="12.42578125" style="1" bestFit="1" customWidth="1"/>
    <col min="5894" max="5897" width="8.42578125" style="1"/>
    <col min="5898" max="5898" width="57" style="1" customWidth="1"/>
    <col min="5899" max="6136" width="8.42578125" style="1"/>
    <col min="6137" max="6137" width="8.85546875" style="1" customWidth="1"/>
    <col min="6138" max="6138" width="81" style="1" customWidth="1"/>
    <col min="6139" max="6139" width="8.5703125" style="1" customWidth="1"/>
    <col min="6140" max="6140" width="16.85546875" style="1" customWidth="1"/>
    <col min="6141" max="6141" width="16" style="1" customWidth="1"/>
    <col min="6142" max="6142" width="20.140625" style="1" customWidth="1"/>
    <col min="6143" max="6143" width="20" style="1" customWidth="1"/>
    <col min="6144" max="6144" width="17.28515625" style="1" customWidth="1"/>
    <col min="6145" max="6145" width="0" style="1" hidden="1" customWidth="1"/>
    <col min="6146" max="6146" width="1.5703125" style="1" customWidth="1"/>
    <col min="6147" max="6148" width="8.42578125" style="1"/>
    <col min="6149" max="6149" width="12.42578125" style="1" bestFit="1" customWidth="1"/>
    <col min="6150" max="6153" width="8.42578125" style="1"/>
    <col min="6154" max="6154" width="57" style="1" customWidth="1"/>
    <col min="6155" max="6392" width="8.42578125" style="1"/>
    <col min="6393" max="6393" width="8.85546875" style="1" customWidth="1"/>
    <col min="6394" max="6394" width="81" style="1" customWidth="1"/>
    <col min="6395" max="6395" width="8.5703125" style="1" customWidth="1"/>
    <col min="6396" max="6396" width="16.85546875" style="1" customWidth="1"/>
    <col min="6397" max="6397" width="16" style="1" customWidth="1"/>
    <col min="6398" max="6398" width="20.140625" style="1" customWidth="1"/>
    <col min="6399" max="6399" width="20" style="1" customWidth="1"/>
    <col min="6400" max="6400" width="17.28515625" style="1" customWidth="1"/>
    <col min="6401" max="6401" width="0" style="1" hidden="1" customWidth="1"/>
    <col min="6402" max="6402" width="1.5703125" style="1" customWidth="1"/>
    <col min="6403" max="6404" width="8.42578125" style="1"/>
    <col min="6405" max="6405" width="12.42578125" style="1" bestFit="1" customWidth="1"/>
    <col min="6406" max="6409" width="8.42578125" style="1"/>
    <col min="6410" max="6410" width="57" style="1" customWidth="1"/>
    <col min="6411" max="6648" width="8.42578125" style="1"/>
    <col min="6649" max="6649" width="8.85546875" style="1" customWidth="1"/>
    <col min="6650" max="6650" width="81" style="1" customWidth="1"/>
    <col min="6651" max="6651" width="8.5703125" style="1" customWidth="1"/>
    <col min="6652" max="6652" width="16.85546875" style="1" customWidth="1"/>
    <col min="6653" max="6653" width="16" style="1" customWidth="1"/>
    <col min="6654" max="6654" width="20.140625" style="1" customWidth="1"/>
    <col min="6655" max="6655" width="20" style="1" customWidth="1"/>
    <col min="6656" max="6656" width="17.28515625" style="1" customWidth="1"/>
    <col min="6657" max="6657" width="0" style="1" hidden="1" customWidth="1"/>
    <col min="6658" max="6658" width="1.5703125" style="1" customWidth="1"/>
    <col min="6659" max="6660" width="8.42578125" style="1"/>
    <col min="6661" max="6661" width="12.42578125" style="1" bestFit="1" customWidth="1"/>
    <col min="6662" max="6665" width="8.42578125" style="1"/>
    <col min="6666" max="6666" width="57" style="1" customWidth="1"/>
    <col min="6667" max="6904" width="8.42578125" style="1"/>
    <col min="6905" max="6905" width="8.85546875" style="1" customWidth="1"/>
    <col min="6906" max="6906" width="81" style="1" customWidth="1"/>
    <col min="6907" max="6907" width="8.5703125" style="1" customWidth="1"/>
    <col min="6908" max="6908" width="16.85546875" style="1" customWidth="1"/>
    <col min="6909" max="6909" width="16" style="1" customWidth="1"/>
    <col min="6910" max="6910" width="20.140625" style="1" customWidth="1"/>
    <col min="6911" max="6911" width="20" style="1" customWidth="1"/>
    <col min="6912" max="6912" width="17.28515625" style="1" customWidth="1"/>
    <col min="6913" max="6913" width="0" style="1" hidden="1" customWidth="1"/>
    <col min="6914" max="6914" width="1.5703125" style="1" customWidth="1"/>
    <col min="6915" max="6916" width="8.42578125" style="1"/>
    <col min="6917" max="6917" width="12.42578125" style="1" bestFit="1" customWidth="1"/>
    <col min="6918" max="6921" width="8.42578125" style="1"/>
    <col min="6922" max="6922" width="57" style="1" customWidth="1"/>
    <col min="6923" max="7160" width="8.42578125" style="1"/>
    <col min="7161" max="7161" width="8.85546875" style="1" customWidth="1"/>
    <col min="7162" max="7162" width="81" style="1" customWidth="1"/>
    <col min="7163" max="7163" width="8.5703125" style="1" customWidth="1"/>
    <col min="7164" max="7164" width="16.85546875" style="1" customWidth="1"/>
    <col min="7165" max="7165" width="16" style="1" customWidth="1"/>
    <col min="7166" max="7166" width="20.140625" style="1" customWidth="1"/>
    <col min="7167" max="7167" width="20" style="1" customWidth="1"/>
    <col min="7168" max="7168" width="17.28515625" style="1" customWidth="1"/>
    <col min="7169" max="7169" width="0" style="1" hidden="1" customWidth="1"/>
    <col min="7170" max="7170" width="1.5703125" style="1" customWidth="1"/>
    <col min="7171" max="7172" width="8.42578125" style="1"/>
    <col min="7173" max="7173" width="12.42578125" style="1" bestFit="1" customWidth="1"/>
    <col min="7174" max="7177" width="8.42578125" style="1"/>
    <col min="7178" max="7178" width="57" style="1" customWidth="1"/>
    <col min="7179" max="7416" width="8.42578125" style="1"/>
    <col min="7417" max="7417" width="8.85546875" style="1" customWidth="1"/>
    <col min="7418" max="7418" width="81" style="1" customWidth="1"/>
    <col min="7419" max="7419" width="8.5703125" style="1" customWidth="1"/>
    <col min="7420" max="7420" width="16.85546875" style="1" customWidth="1"/>
    <col min="7421" max="7421" width="16" style="1" customWidth="1"/>
    <col min="7422" max="7422" width="20.140625" style="1" customWidth="1"/>
    <col min="7423" max="7423" width="20" style="1" customWidth="1"/>
    <col min="7424" max="7424" width="17.28515625" style="1" customWidth="1"/>
    <col min="7425" max="7425" width="0" style="1" hidden="1" customWidth="1"/>
    <col min="7426" max="7426" width="1.5703125" style="1" customWidth="1"/>
    <col min="7427" max="7428" width="8.42578125" style="1"/>
    <col min="7429" max="7429" width="12.42578125" style="1" bestFit="1" customWidth="1"/>
    <col min="7430" max="7433" width="8.42578125" style="1"/>
    <col min="7434" max="7434" width="57" style="1" customWidth="1"/>
    <col min="7435" max="7672" width="8.42578125" style="1"/>
    <col min="7673" max="7673" width="8.85546875" style="1" customWidth="1"/>
    <col min="7674" max="7674" width="81" style="1" customWidth="1"/>
    <col min="7675" max="7675" width="8.5703125" style="1" customWidth="1"/>
    <col min="7676" max="7676" width="16.85546875" style="1" customWidth="1"/>
    <col min="7677" max="7677" width="16" style="1" customWidth="1"/>
    <col min="7678" max="7678" width="20.140625" style="1" customWidth="1"/>
    <col min="7679" max="7679" width="20" style="1" customWidth="1"/>
    <col min="7680" max="7680" width="17.28515625" style="1" customWidth="1"/>
    <col min="7681" max="7681" width="0" style="1" hidden="1" customWidth="1"/>
    <col min="7682" max="7682" width="1.5703125" style="1" customWidth="1"/>
    <col min="7683" max="7684" width="8.42578125" style="1"/>
    <col min="7685" max="7685" width="12.42578125" style="1" bestFit="1" customWidth="1"/>
    <col min="7686" max="7689" width="8.42578125" style="1"/>
    <col min="7690" max="7690" width="57" style="1" customWidth="1"/>
    <col min="7691" max="7928" width="8.42578125" style="1"/>
    <col min="7929" max="7929" width="8.85546875" style="1" customWidth="1"/>
    <col min="7930" max="7930" width="81" style="1" customWidth="1"/>
    <col min="7931" max="7931" width="8.5703125" style="1" customWidth="1"/>
    <col min="7932" max="7932" width="16.85546875" style="1" customWidth="1"/>
    <col min="7933" max="7933" width="16" style="1" customWidth="1"/>
    <col min="7934" max="7934" width="20.140625" style="1" customWidth="1"/>
    <col min="7935" max="7935" width="20" style="1" customWidth="1"/>
    <col min="7936" max="7936" width="17.28515625" style="1" customWidth="1"/>
    <col min="7937" max="7937" width="0" style="1" hidden="1" customWidth="1"/>
    <col min="7938" max="7938" width="1.5703125" style="1" customWidth="1"/>
    <col min="7939" max="7940" width="8.42578125" style="1"/>
    <col min="7941" max="7941" width="12.42578125" style="1" bestFit="1" customWidth="1"/>
    <col min="7942" max="7945" width="8.42578125" style="1"/>
    <col min="7946" max="7946" width="57" style="1" customWidth="1"/>
    <col min="7947" max="8184" width="8.42578125" style="1"/>
    <col min="8185" max="8185" width="8.85546875" style="1" customWidth="1"/>
    <col min="8186" max="8186" width="81" style="1" customWidth="1"/>
    <col min="8187" max="8187" width="8.5703125" style="1" customWidth="1"/>
    <col min="8188" max="8188" width="16.85546875" style="1" customWidth="1"/>
    <col min="8189" max="8189" width="16" style="1" customWidth="1"/>
    <col min="8190" max="8190" width="20.140625" style="1" customWidth="1"/>
    <col min="8191" max="8191" width="20" style="1" customWidth="1"/>
    <col min="8192" max="8192" width="17.28515625" style="1" customWidth="1"/>
    <col min="8193" max="8193" width="0" style="1" hidden="1" customWidth="1"/>
    <col min="8194" max="8194" width="1.5703125" style="1" customWidth="1"/>
    <col min="8195" max="8196" width="8.42578125" style="1"/>
    <col min="8197" max="8197" width="12.42578125" style="1" bestFit="1" customWidth="1"/>
    <col min="8198" max="8201" width="8.42578125" style="1"/>
    <col min="8202" max="8202" width="57" style="1" customWidth="1"/>
    <col min="8203" max="8440" width="8.42578125" style="1"/>
    <col min="8441" max="8441" width="8.85546875" style="1" customWidth="1"/>
    <col min="8442" max="8442" width="81" style="1" customWidth="1"/>
    <col min="8443" max="8443" width="8.5703125" style="1" customWidth="1"/>
    <col min="8444" max="8444" width="16.85546875" style="1" customWidth="1"/>
    <col min="8445" max="8445" width="16" style="1" customWidth="1"/>
    <col min="8446" max="8446" width="20.140625" style="1" customWidth="1"/>
    <col min="8447" max="8447" width="20" style="1" customWidth="1"/>
    <col min="8448" max="8448" width="17.28515625" style="1" customWidth="1"/>
    <col min="8449" max="8449" width="0" style="1" hidden="1" customWidth="1"/>
    <col min="8450" max="8450" width="1.5703125" style="1" customWidth="1"/>
    <col min="8451" max="8452" width="8.42578125" style="1"/>
    <col min="8453" max="8453" width="12.42578125" style="1" bestFit="1" customWidth="1"/>
    <col min="8454" max="8457" width="8.42578125" style="1"/>
    <col min="8458" max="8458" width="57" style="1" customWidth="1"/>
    <col min="8459" max="8696" width="8.42578125" style="1"/>
    <col min="8697" max="8697" width="8.85546875" style="1" customWidth="1"/>
    <col min="8698" max="8698" width="81" style="1" customWidth="1"/>
    <col min="8699" max="8699" width="8.5703125" style="1" customWidth="1"/>
    <col min="8700" max="8700" width="16.85546875" style="1" customWidth="1"/>
    <col min="8701" max="8701" width="16" style="1" customWidth="1"/>
    <col min="8702" max="8702" width="20.140625" style="1" customWidth="1"/>
    <col min="8703" max="8703" width="20" style="1" customWidth="1"/>
    <col min="8704" max="8704" width="17.28515625" style="1" customWidth="1"/>
    <col min="8705" max="8705" width="0" style="1" hidden="1" customWidth="1"/>
    <col min="8706" max="8706" width="1.5703125" style="1" customWidth="1"/>
    <col min="8707" max="8708" width="8.42578125" style="1"/>
    <col min="8709" max="8709" width="12.42578125" style="1" bestFit="1" customWidth="1"/>
    <col min="8710" max="8713" width="8.42578125" style="1"/>
    <col min="8714" max="8714" width="57" style="1" customWidth="1"/>
    <col min="8715" max="8952" width="8.42578125" style="1"/>
    <col min="8953" max="8953" width="8.85546875" style="1" customWidth="1"/>
    <col min="8954" max="8954" width="81" style="1" customWidth="1"/>
    <col min="8955" max="8955" width="8.5703125" style="1" customWidth="1"/>
    <col min="8956" max="8956" width="16.85546875" style="1" customWidth="1"/>
    <col min="8957" max="8957" width="16" style="1" customWidth="1"/>
    <col min="8958" max="8958" width="20.140625" style="1" customWidth="1"/>
    <col min="8959" max="8959" width="20" style="1" customWidth="1"/>
    <col min="8960" max="8960" width="17.28515625" style="1" customWidth="1"/>
    <col min="8961" max="8961" width="0" style="1" hidden="1" customWidth="1"/>
    <col min="8962" max="8962" width="1.5703125" style="1" customWidth="1"/>
    <col min="8963" max="8964" width="8.42578125" style="1"/>
    <col min="8965" max="8965" width="12.42578125" style="1" bestFit="1" customWidth="1"/>
    <col min="8966" max="8969" width="8.42578125" style="1"/>
    <col min="8970" max="8970" width="57" style="1" customWidth="1"/>
    <col min="8971" max="9208" width="8.42578125" style="1"/>
    <col min="9209" max="9209" width="8.85546875" style="1" customWidth="1"/>
    <col min="9210" max="9210" width="81" style="1" customWidth="1"/>
    <col min="9211" max="9211" width="8.5703125" style="1" customWidth="1"/>
    <col min="9212" max="9212" width="16.85546875" style="1" customWidth="1"/>
    <col min="9213" max="9213" width="16" style="1" customWidth="1"/>
    <col min="9214" max="9214" width="20.140625" style="1" customWidth="1"/>
    <col min="9215" max="9215" width="20" style="1" customWidth="1"/>
    <col min="9216" max="9216" width="17.28515625" style="1" customWidth="1"/>
    <col min="9217" max="9217" width="0" style="1" hidden="1" customWidth="1"/>
    <col min="9218" max="9218" width="1.5703125" style="1" customWidth="1"/>
    <col min="9219" max="9220" width="8.42578125" style="1"/>
    <col min="9221" max="9221" width="12.42578125" style="1" bestFit="1" customWidth="1"/>
    <col min="9222" max="9225" width="8.42578125" style="1"/>
    <col min="9226" max="9226" width="57" style="1" customWidth="1"/>
    <col min="9227" max="9464" width="8.42578125" style="1"/>
    <col min="9465" max="9465" width="8.85546875" style="1" customWidth="1"/>
    <col min="9466" max="9466" width="81" style="1" customWidth="1"/>
    <col min="9467" max="9467" width="8.5703125" style="1" customWidth="1"/>
    <col min="9468" max="9468" width="16.85546875" style="1" customWidth="1"/>
    <col min="9469" max="9469" width="16" style="1" customWidth="1"/>
    <col min="9470" max="9470" width="20.140625" style="1" customWidth="1"/>
    <col min="9471" max="9471" width="20" style="1" customWidth="1"/>
    <col min="9472" max="9472" width="17.28515625" style="1" customWidth="1"/>
    <col min="9473" max="9473" width="0" style="1" hidden="1" customWidth="1"/>
    <col min="9474" max="9474" width="1.5703125" style="1" customWidth="1"/>
    <col min="9475" max="9476" width="8.42578125" style="1"/>
    <col min="9477" max="9477" width="12.42578125" style="1" bestFit="1" customWidth="1"/>
    <col min="9478" max="9481" width="8.42578125" style="1"/>
    <col min="9482" max="9482" width="57" style="1" customWidth="1"/>
    <col min="9483" max="9720" width="8.42578125" style="1"/>
    <col min="9721" max="9721" width="8.85546875" style="1" customWidth="1"/>
    <col min="9722" max="9722" width="81" style="1" customWidth="1"/>
    <col min="9723" max="9723" width="8.5703125" style="1" customWidth="1"/>
    <col min="9724" max="9724" width="16.85546875" style="1" customWidth="1"/>
    <col min="9725" max="9725" width="16" style="1" customWidth="1"/>
    <col min="9726" max="9726" width="20.140625" style="1" customWidth="1"/>
    <col min="9727" max="9727" width="20" style="1" customWidth="1"/>
    <col min="9728" max="9728" width="17.28515625" style="1" customWidth="1"/>
    <col min="9729" max="9729" width="0" style="1" hidden="1" customWidth="1"/>
    <col min="9730" max="9730" width="1.5703125" style="1" customWidth="1"/>
    <col min="9731" max="9732" width="8.42578125" style="1"/>
    <col min="9733" max="9733" width="12.42578125" style="1" bestFit="1" customWidth="1"/>
    <col min="9734" max="9737" width="8.42578125" style="1"/>
    <col min="9738" max="9738" width="57" style="1" customWidth="1"/>
    <col min="9739" max="9976" width="8.42578125" style="1"/>
    <col min="9977" max="9977" width="8.85546875" style="1" customWidth="1"/>
    <col min="9978" max="9978" width="81" style="1" customWidth="1"/>
    <col min="9979" max="9979" width="8.5703125" style="1" customWidth="1"/>
    <col min="9980" max="9980" width="16.85546875" style="1" customWidth="1"/>
    <col min="9981" max="9981" width="16" style="1" customWidth="1"/>
    <col min="9982" max="9982" width="20.140625" style="1" customWidth="1"/>
    <col min="9983" max="9983" width="20" style="1" customWidth="1"/>
    <col min="9984" max="9984" width="17.28515625" style="1" customWidth="1"/>
    <col min="9985" max="9985" width="0" style="1" hidden="1" customWidth="1"/>
    <col min="9986" max="9986" width="1.5703125" style="1" customWidth="1"/>
    <col min="9987" max="9988" width="8.42578125" style="1"/>
    <col min="9989" max="9989" width="12.42578125" style="1" bestFit="1" customWidth="1"/>
    <col min="9990" max="9993" width="8.42578125" style="1"/>
    <col min="9994" max="9994" width="57" style="1" customWidth="1"/>
    <col min="9995" max="10232" width="8.42578125" style="1"/>
    <col min="10233" max="10233" width="8.85546875" style="1" customWidth="1"/>
    <col min="10234" max="10234" width="81" style="1" customWidth="1"/>
    <col min="10235" max="10235" width="8.5703125" style="1" customWidth="1"/>
    <col min="10236" max="10236" width="16.85546875" style="1" customWidth="1"/>
    <col min="10237" max="10237" width="16" style="1" customWidth="1"/>
    <col min="10238" max="10238" width="20.140625" style="1" customWidth="1"/>
    <col min="10239" max="10239" width="20" style="1" customWidth="1"/>
    <col min="10240" max="10240" width="17.28515625" style="1" customWidth="1"/>
    <col min="10241" max="10241" width="0" style="1" hidden="1" customWidth="1"/>
    <col min="10242" max="10242" width="1.5703125" style="1" customWidth="1"/>
    <col min="10243" max="10244" width="8.42578125" style="1"/>
    <col min="10245" max="10245" width="12.42578125" style="1" bestFit="1" customWidth="1"/>
    <col min="10246" max="10249" width="8.42578125" style="1"/>
    <col min="10250" max="10250" width="57" style="1" customWidth="1"/>
    <col min="10251" max="10488" width="8.42578125" style="1"/>
    <col min="10489" max="10489" width="8.85546875" style="1" customWidth="1"/>
    <col min="10490" max="10490" width="81" style="1" customWidth="1"/>
    <col min="10491" max="10491" width="8.5703125" style="1" customWidth="1"/>
    <col min="10492" max="10492" width="16.85546875" style="1" customWidth="1"/>
    <col min="10493" max="10493" width="16" style="1" customWidth="1"/>
    <col min="10494" max="10494" width="20.140625" style="1" customWidth="1"/>
    <col min="10495" max="10495" width="20" style="1" customWidth="1"/>
    <col min="10496" max="10496" width="17.28515625" style="1" customWidth="1"/>
    <col min="10497" max="10497" width="0" style="1" hidden="1" customWidth="1"/>
    <col min="10498" max="10498" width="1.5703125" style="1" customWidth="1"/>
    <col min="10499" max="10500" width="8.42578125" style="1"/>
    <col min="10501" max="10501" width="12.42578125" style="1" bestFit="1" customWidth="1"/>
    <col min="10502" max="10505" width="8.42578125" style="1"/>
    <col min="10506" max="10506" width="57" style="1" customWidth="1"/>
    <col min="10507" max="10744" width="8.42578125" style="1"/>
    <col min="10745" max="10745" width="8.85546875" style="1" customWidth="1"/>
    <col min="10746" max="10746" width="81" style="1" customWidth="1"/>
    <col min="10747" max="10747" width="8.5703125" style="1" customWidth="1"/>
    <col min="10748" max="10748" width="16.85546875" style="1" customWidth="1"/>
    <col min="10749" max="10749" width="16" style="1" customWidth="1"/>
    <col min="10750" max="10750" width="20.140625" style="1" customWidth="1"/>
    <col min="10751" max="10751" width="20" style="1" customWidth="1"/>
    <col min="10752" max="10752" width="17.28515625" style="1" customWidth="1"/>
    <col min="10753" max="10753" width="0" style="1" hidden="1" customWidth="1"/>
    <col min="10754" max="10754" width="1.5703125" style="1" customWidth="1"/>
    <col min="10755" max="10756" width="8.42578125" style="1"/>
    <col min="10757" max="10757" width="12.42578125" style="1" bestFit="1" customWidth="1"/>
    <col min="10758" max="10761" width="8.42578125" style="1"/>
    <col min="10762" max="10762" width="57" style="1" customWidth="1"/>
    <col min="10763" max="11000" width="8.42578125" style="1"/>
    <col min="11001" max="11001" width="8.85546875" style="1" customWidth="1"/>
    <col min="11002" max="11002" width="81" style="1" customWidth="1"/>
    <col min="11003" max="11003" width="8.5703125" style="1" customWidth="1"/>
    <col min="11004" max="11004" width="16.85546875" style="1" customWidth="1"/>
    <col min="11005" max="11005" width="16" style="1" customWidth="1"/>
    <col min="11006" max="11006" width="20.140625" style="1" customWidth="1"/>
    <col min="11007" max="11007" width="20" style="1" customWidth="1"/>
    <col min="11008" max="11008" width="17.28515625" style="1" customWidth="1"/>
    <col min="11009" max="11009" width="0" style="1" hidden="1" customWidth="1"/>
    <col min="11010" max="11010" width="1.5703125" style="1" customWidth="1"/>
    <col min="11011" max="11012" width="8.42578125" style="1"/>
    <col min="11013" max="11013" width="12.42578125" style="1" bestFit="1" customWidth="1"/>
    <col min="11014" max="11017" width="8.42578125" style="1"/>
    <col min="11018" max="11018" width="57" style="1" customWidth="1"/>
    <col min="11019" max="11256" width="8.42578125" style="1"/>
    <col min="11257" max="11257" width="8.85546875" style="1" customWidth="1"/>
    <col min="11258" max="11258" width="81" style="1" customWidth="1"/>
    <col min="11259" max="11259" width="8.5703125" style="1" customWidth="1"/>
    <col min="11260" max="11260" width="16.85546875" style="1" customWidth="1"/>
    <col min="11261" max="11261" width="16" style="1" customWidth="1"/>
    <col min="11262" max="11262" width="20.140625" style="1" customWidth="1"/>
    <col min="11263" max="11263" width="20" style="1" customWidth="1"/>
    <col min="11264" max="11264" width="17.28515625" style="1" customWidth="1"/>
    <col min="11265" max="11265" width="0" style="1" hidden="1" customWidth="1"/>
    <col min="11266" max="11266" width="1.5703125" style="1" customWidth="1"/>
    <col min="11267" max="11268" width="8.42578125" style="1"/>
    <col min="11269" max="11269" width="12.42578125" style="1" bestFit="1" customWidth="1"/>
    <col min="11270" max="11273" width="8.42578125" style="1"/>
    <col min="11274" max="11274" width="57" style="1" customWidth="1"/>
    <col min="11275" max="11512" width="8.42578125" style="1"/>
    <col min="11513" max="11513" width="8.85546875" style="1" customWidth="1"/>
    <col min="11514" max="11514" width="81" style="1" customWidth="1"/>
    <col min="11515" max="11515" width="8.5703125" style="1" customWidth="1"/>
    <col min="11516" max="11516" width="16.85546875" style="1" customWidth="1"/>
    <col min="11517" max="11517" width="16" style="1" customWidth="1"/>
    <col min="11518" max="11518" width="20.140625" style="1" customWidth="1"/>
    <col min="11519" max="11519" width="20" style="1" customWidth="1"/>
    <col min="11520" max="11520" width="17.28515625" style="1" customWidth="1"/>
    <col min="11521" max="11521" width="0" style="1" hidden="1" customWidth="1"/>
    <col min="11522" max="11522" width="1.5703125" style="1" customWidth="1"/>
    <col min="11523" max="11524" width="8.42578125" style="1"/>
    <col min="11525" max="11525" width="12.42578125" style="1" bestFit="1" customWidth="1"/>
    <col min="11526" max="11529" width="8.42578125" style="1"/>
    <col min="11530" max="11530" width="57" style="1" customWidth="1"/>
    <col min="11531" max="11768" width="8.42578125" style="1"/>
    <col min="11769" max="11769" width="8.85546875" style="1" customWidth="1"/>
    <col min="11770" max="11770" width="81" style="1" customWidth="1"/>
    <col min="11771" max="11771" width="8.5703125" style="1" customWidth="1"/>
    <col min="11772" max="11772" width="16.85546875" style="1" customWidth="1"/>
    <col min="11773" max="11773" width="16" style="1" customWidth="1"/>
    <col min="11774" max="11774" width="20.140625" style="1" customWidth="1"/>
    <col min="11775" max="11775" width="20" style="1" customWidth="1"/>
    <col min="11776" max="11776" width="17.28515625" style="1" customWidth="1"/>
    <col min="11777" max="11777" width="0" style="1" hidden="1" customWidth="1"/>
    <col min="11778" max="11778" width="1.5703125" style="1" customWidth="1"/>
    <col min="11779" max="11780" width="8.42578125" style="1"/>
    <col min="11781" max="11781" width="12.42578125" style="1" bestFit="1" customWidth="1"/>
    <col min="11782" max="11785" width="8.42578125" style="1"/>
    <col min="11786" max="11786" width="57" style="1" customWidth="1"/>
    <col min="11787" max="12024" width="8.42578125" style="1"/>
    <col min="12025" max="12025" width="8.85546875" style="1" customWidth="1"/>
    <col min="12026" max="12026" width="81" style="1" customWidth="1"/>
    <col min="12027" max="12027" width="8.5703125" style="1" customWidth="1"/>
    <col min="12028" max="12028" width="16.85546875" style="1" customWidth="1"/>
    <col min="12029" max="12029" width="16" style="1" customWidth="1"/>
    <col min="12030" max="12030" width="20.140625" style="1" customWidth="1"/>
    <col min="12031" max="12031" width="20" style="1" customWidth="1"/>
    <col min="12032" max="12032" width="17.28515625" style="1" customWidth="1"/>
    <col min="12033" max="12033" width="0" style="1" hidden="1" customWidth="1"/>
    <col min="12034" max="12034" width="1.5703125" style="1" customWidth="1"/>
    <col min="12035" max="12036" width="8.42578125" style="1"/>
    <col min="12037" max="12037" width="12.42578125" style="1" bestFit="1" customWidth="1"/>
    <col min="12038" max="12041" width="8.42578125" style="1"/>
    <col min="12042" max="12042" width="57" style="1" customWidth="1"/>
    <col min="12043" max="12280" width="8.42578125" style="1"/>
    <col min="12281" max="12281" width="8.85546875" style="1" customWidth="1"/>
    <col min="12282" max="12282" width="81" style="1" customWidth="1"/>
    <col min="12283" max="12283" width="8.5703125" style="1" customWidth="1"/>
    <col min="12284" max="12284" width="16.85546875" style="1" customWidth="1"/>
    <col min="12285" max="12285" width="16" style="1" customWidth="1"/>
    <col min="12286" max="12286" width="20.140625" style="1" customWidth="1"/>
    <col min="12287" max="12287" width="20" style="1" customWidth="1"/>
    <col min="12288" max="12288" width="17.28515625" style="1" customWidth="1"/>
    <col min="12289" max="12289" width="0" style="1" hidden="1" customWidth="1"/>
    <col min="12290" max="12290" width="1.5703125" style="1" customWidth="1"/>
    <col min="12291" max="12292" width="8.42578125" style="1"/>
    <col min="12293" max="12293" width="12.42578125" style="1" bestFit="1" customWidth="1"/>
    <col min="12294" max="12297" width="8.42578125" style="1"/>
    <col min="12298" max="12298" width="57" style="1" customWidth="1"/>
    <col min="12299" max="12536" width="8.42578125" style="1"/>
    <col min="12537" max="12537" width="8.85546875" style="1" customWidth="1"/>
    <col min="12538" max="12538" width="81" style="1" customWidth="1"/>
    <col min="12539" max="12539" width="8.5703125" style="1" customWidth="1"/>
    <col min="12540" max="12540" width="16.85546875" style="1" customWidth="1"/>
    <col min="12541" max="12541" width="16" style="1" customWidth="1"/>
    <col min="12542" max="12542" width="20.140625" style="1" customWidth="1"/>
    <col min="12543" max="12543" width="20" style="1" customWidth="1"/>
    <col min="12544" max="12544" width="17.28515625" style="1" customWidth="1"/>
    <col min="12545" max="12545" width="0" style="1" hidden="1" customWidth="1"/>
    <col min="12546" max="12546" width="1.5703125" style="1" customWidth="1"/>
    <col min="12547" max="12548" width="8.42578125" style="1"/>
    <col min="12549" max="12549" width="12.42578125" style="1" bestFit="1" customWidth="1"/>
    <col min="12550" max="12553" width="8.42578125" style="1"/>
    <col min="12554" max="12554" width="57" style="1" customWidth="1"/>
    <col min="12555" max="12792" width="8.42578125" style="1"/>
    <col min="12793" max="12793" width="8.85546875" style="1" customWidth="1"/>
    <col min="12794" max="12794" width="81" style="1" customWidth="1"/>
    <col min="12795" max="12795" width="8.5703125" style="1" customWidth="1"/>
    <col min="12796" max="12796" width="16.85546875" style="1" customWidth="1"/>
    <col min="12797" max="12797" width="16" style="1" customWidth="1"/>
    <col min="12798" max="12798" width="20.140625" style="1" customWidth="1"/>
    <col min="12799" max="12799" width="20" style="1" customWidth="1"/>
    <col min="12800" max="12800" width="17.28515625" style="1" customWidth="1"/>
    <col min="12801" max="12801" width="0" style="1" hidden="1" customWidth="1"/>
    <col min="12802" max="12802" width="1.5703125" style="1" customWidth="1"/>
    <col min="12803" max="12804" width="8.42578125" style="1"/>
    <col min="12805" max="12805" width="12.42578125" style="1" bestFit="1" customWidth="1"/>
    <col min="12806" max="12809" width="8.42578125" style="1"/>
    <col min="12810" max="12810" width="57" style="1" customWidth="1"/>
    <col min="12811" max="13048" width="8.42578125" style="1"/>
    <col min="13049" max="13049" width="8.85546875" style="1" customWidth="1"/>
    <col min="13050" max="13050" width="81" style="1" customWidth="1"/>
    <col min="13051" max="13051" width="8.5703125" style="1" customWidth="1"/>
    <col min="13052" max="13052" width="16.85546875" style="1" customWidth="1"/>
    <col min="13053" max="13053" width="16" style="1" customWidth="1"/>
    <col min="13054" max="13054" width="20.140625" style="1" customWidth="1"/>
    <col min="13055" max="13055" width="20" style="1" customWidth="1"/>
    <col min="13056" max="13056" width="17.28515625" style="1" customWidth="1"/>
    <col min="13057" max="13057" width="0" style="1" hidden="1" customWidth="1"/>
    <col min="13058" max="13058" width="1.5703125" style="1" customWidth="1"/>
    <col min="13059" max="13060" width="8.42578125" style="1"/>
    <col min="13061" max="13061" width="12.42578125" style="1" bestFit="1" customWidth="1"/>
    <col min="13062" max="13065" width="8.42578125" style="1"/>
    <col min="13066" max="13066" width="57" style="1" customWidth="1"/>
    <col min="13067" max="13304" width="8.42578125" style="1"/>
    <col min="13305" max="13305" width="8.85546875" style="1" customWidth="1"/>
    <col min="13306" max="13306" width="81" style="1" customWidth="1"/>
    <col min="13307" max="13307" width="8.5703125" style="1" customWidth="1"/>
    <col min="13308" max="13308" width="16.85546875" style="1" customWidth="1"/>
    <col min="13309" max="13309" width="16" style="1" customWidth="1"/>
    <col min="13310" max="13310" width="20.140625" style="1" customWidth="1"/>
    <col min="13311" max="13311" width="20" style="1" customWidth="1"/>
    <col min="13312" max="13312" width="17.28515625" style="1" customWidth="1"/>
    <col min="13313" max="13313" width="0" style="1" hidden="1" customWidth="1"/>
    <col min="13314" max="13314" width="1.5703125" style="1" customWidth="1"/>
    <col min="13315" max="13316" width="8.42578125" style="1"/>
    <col min="13317" max="13317" width="12.42578125" style="1" bestFit="1" customWidth="1"/>
    <col min="13318" max="13321" width="8.42578125" style="1"/>
    <col min="13322" max="13322" width="57" style="1" customWidth="1"/>
    <col min="13323" max="13560" width="8.42578125" style="1"/>
    <col min="13561" max="13561" width="8.85546875" style="1" customWidth="1"/>
    <col min="13562" max="13562" width="81" style="1" customWidth="1"/>
    <col min="13563" max="13563" width="8.5703125" style="1" customWidth="1"/>
    <col min="13564" max="13564" width="16.85546875" style="1" customWidth="1"/>
    <col min="13565" max="13565" width="16" style="1" customWidth="1"/>
    <col min="13566" max="13566" width="20.140625" style="1" customWidth="1"/>
    <col min="13567" max="13567" width="20" style="1" customWidth="1"/>
    <col min="13568" max="13568" width="17.28515625" style="1" customWidth="1"/>
    <col min="13569" max="13569" width="0" style="1" hidden="1" customWidth="1"/>
    <col min="13570" max="13570" width="1.5703125" style="1" customWidth="1"/>
    <col min="13571" max="13572" width="8.42578125" style="1"/>
    <col min="13573" max="13573" width="12.42578125" style="1" bestFit="1" customWidth="1"/>
    <col min="13574" max="13577" width="8.42578125" style="1"/>
    <col min="13578" max="13578" width="57" style="1" customWidth="1"/>
    <col min="13579" max="13816" width="8.42578125" style="1"/>
    <col min="13817" max="13817" width="8.85546875" style="1" customWidth="1"/>
    <col min="13818" max="13818" width="81" style="1" customWidth="1"/>
    <col min="13819" max="13819" width="8.5703125" style="1" customWidth="1"/>
    <col min="13820" max="13820" width="16.85546875" style="1" customWidth="1"/>
    <col min="13821" max="13821" width="16" style="1" customWidth="1"/>
    <col min="13822" max="13822" width="20.140625" style="1" customWidth="1"/>
    <col min="13823" max="13823" width="20" style="1" customWidth="1"/>
    <col min="13824" max="13824" width="17.28515625" style="1" customWidth="1"/>
    <col min="13825" max="13825" width="0" style="1" hidden="1" customWidth="1"/>
    <col min="13826" max="13826" width="1.5703125" style="1" customWidth="1"/>
    <col min="13827" max="13828" width="8.42578125" style="1"/>
    <col min="13829" max="13829" width="12.42578125" style="1" bestFit="1" customWidth="1"/>
    <col min="13830" max="13833" width="8.42578125" style="1"/>
    <col min="13834" max="13834" width="57" style="1" customWidth="1"/>
    <col min="13835" max="14072" width="8.42578125" style="1"/>
    <col min="14073" max="14073" width="8.85546875" style="1" customWidth="1"/>
    <col min="14074" max="14074" width="81" style="1" customWidth="1"/>
    <col min="14075" max="14075" width="8.5703125" style="1" customWidth="1"/>
    <col min="14076" max="14076" width="16.85546875" style="1" customWidth="1"/>
    <col min="14077" max="14077" width="16" style="1" customWidth="1"/>
    <col min="14078" max="14078" width="20.140625" style="1" customWidth="1"/>
    <col min="14079" max="14079" width="20" style="1" customWidth="1"/>
    <col min="14080" max="14080" width="17.28515625" style="1" customWidth="1"/>
    <col min="14081" max="14081" width="0" style="1" hidden="1" customWidth="1"/>
    <col min="14082" max="14082" width="1.5703125" style="1" customWidth="1"/>
    <col min="14083" max="14084" width="8.42578125" style="1"/>
    <col min="14085" max="14085" width="12.42578125" style="1" bestFit="1" customWidth="1"/>
    <col min="14086" max="14089" width="8.42578125" style="1"/>
    <col min="14090" max="14090" width="57" style="1" customWidth="1"/>
    <col min="14091" max="14328" width="8.42578125" style="1"/>
    <col min="14329" max="14329" width="8.85546875" style="1" customWidth="1"/>
    <col min="14330" max="14330" width="81" style="1" customWidth="1"/>
    <col min="14331" max="14331" width="8.5703125" style="1" customWidth="1"/>
    <col min="14332" max="14332" width="16.85546875" style="1" customWidth="1"/>
    <col min="14333" max="14333" width="16" style="1" customWidth="1"/>
    <col min="14334" max="14334" width="20.140625" style="1" customWidth="1"/>
    <col min="14335" max="14335" width="20" style="1" customWidth="1"/>
    <col min="14336" max="14336" width="17.28515625" style="1" customWidth="1"/>
    <col min="14337" max="14337" width="0" style="1" hidden="1" customWidth="1"/>
    <col min="14338" max="14338" width="1.5703125" style="1" customWidth="1"/>
    <col min="14339" max="14340" width="8.42578125" style="1"/>
    <col min="14341" max="14341" width="12.42578125" style="1" bestFit="1" customWidth="1"/>
    <col min="14342" max="14345" width="8.42578125" style="1"/>
    <col min="14346" max="14346" width="57" style="1" customWidth="1"/>
    <col min="14347" max="14584" width="8.42578125" style="1"/>
    <col min="14585" max="14585" width="8.85546875" style="1" customWidth="1"/>
    <col min="14586" max="14586" width="81" style="1" customWidth="1"/>
    <col min="14587" max="14587" width="8.5703125" style="1" customWidth="1"/>
    <col min="14588" max="14588" width="16.85546875" style="1" customWidth="1"/>
    <col min="14589" max="14589" width="16" style="1" customWidth="1"/>
    <col min="14590" max="14590" width="20.140625" style="1" customWidth="1"/>
    <col min="14591" max="14591" width="20" style="1" customWidth="1"/>
    <col min="14592" max="14592" width="17.28515625" style="1" customWidth="1"/>
    <col min="14593" max="14593" width="0" style="1" hidden="1" customWidth="1"/>
    <col min="14594" max="14594" width="1.5703125" style="1" customWidth="1"/>
    <col min="14595" max="14596" width="8.42578125" style="1"/>
    <col min="14597" max="14597" width="12.42578125" style="1" bestFit="1" customWidth="1"/>
    <col min="14598" max="14601" width="8.42578125" style="1"/>
    <col min="14602" max="14602" width="57" style="1" customWidth="1"/>
    <col min="14603" max="14840" width="8.42578125" style="1"/>
    <col min="14841" max="14841" width="8.85546875" style="1" customWidth="1"/>
    <col min="14842" max="14842" width="81" style="1" customWidth="1"/>
    <col min="14843" max="14843" width="8.5703125" style="1" customWidth="1"/>
    <col min="14844" max="14844" width="16.85546875" style="1" customWidth="1"/>
    <col min="14845" max="14845" width="16" style="1" customWidth="1"/>
    <col min="14846" max="14846" width="20.140625" style="1" customWidth="1"/>
    <col min="14847" max="14847" width="20" style="1" customWidth="1"/>
    <col min="14848" max="14848" width="17.28515625" style="1" customWidth="1"/>
    <col min="14849" max="14849" width="0" style="1" hidden="1" customWidth="1"/>
    <col min="14850" max="14850" width="1.5703125" style="1" customWidth="1"/>
    <col min="14851" max="14852" width="8.42578125" style="1"/>
    <col min="14853" max="14853" width="12.42578125" style="1" bestFit="1" customWidth="1"/>
    <col min="14854" max="14857" width="8.42578125" style="1"/>
    <col min="14858" max="14858" width="57" style="1" customWidth="1"/>
    <col min="14859" max="15096" width="8.42578125" style="1"/>
    <col min="15097" max="15097" width="8.85546875" style="1" customWidth="1"/>
    <col min="15098" max="15098" width="81" style="1" customWidth="1"/>
    <col min="15099" max="15099" width="8.5703125" style="1" customWidth="1"/>
    <col min="15100" max="15100" width="16.85546875" style="1" customWidth="1"/>
    <col min="15101" max="15101" width="16" style="1" customWidth="1"/>
    <col min="15102" max="15102" width="20.140625" style="1" customWidth="1"/>
    <col min="15103" max="15103" width="20" style="1" customWidth="1"/>
    <col min="15104" max="15104" width="17.28515625" style="1" customWidth="1"/>
    <col min="15105" max="15105" width="0" style="1" hidden="1" customWidth="1"/>
    <col min="15106" max="15106" width="1.5703125" style="1" customWidth="1"/>
    <col min="15107" max="15108" width="8.42578125" style="1"/>
    <col min="15109" max="15109" width="12.42578125" style="1" bestFit="1" customWidth="1"/>
    <col min="15110" max="15113" width="8.42578125" style="1"/>
    <col min="15114" max="15114" width="57" style="1" customWidth="1"/>
    <col min="15115" max="15352" width="8.42578125" style="1"/>
    <col min="15353" max="15353" width="8.85546875" style="1" customWidth="1"/>
    <col min="15354" max="15354" width="81" style="1" customWidth="1"/>
    <col min="15355" max="15355" width="8.5703125" style="1" customWidth="1"/>
    <col min="15356" max="15356" width="16.85546875" style="1" customWidth="1"/>
    <col min="15357" max="15357" width="16" style="1" customWidth="1"/>
    <col min="15358" max="15358" width="20.140625" style="1" customWidth="1"/>
    <col min="15359" max="15359" width="20" style="1" customWidth="1"/>
    <col min="15360" max="15360" width="17.28515625" style="1" customWidth="1"/>
    <col min="15361" max="15361" width="0" style="1" hidden="1" customWidth="1"/>
    <col min="15362" max="15362" width="1.5703125" style="1" customWidth="1"/>
    <col min="15363" max="15364" width="8.42578125" style="1"/>
    <col min="15365" max="15365" width="12.42578125" style="1" bestFit="1" customWidth="1"/>
    <col min="15366" max="15369" width="8.42578125" style="1"/>
    <col min="15370" max="15370" width="57" style="1" customWidth="1"/>
    <col min="15371" max="15608" width="8.42578125" style="1"/>
    <col min="15609" max="15609" width="8.85546875" style="1" customWidth="1"/>
    <col min="15610" max="15610" width="81" style="1" customWidth="1"/>
    <col min="15611" max="15611" width="8.5703125" style="1" customWidth="1"/>
    <col min="15612" max="15612" width="16.85546875" style="1" customWidth="1"/>
    <col min="15613" max="15613" width="16" style="1" customWidth="1"/>
    <col min="15614" max="15614" width="20.140625" style="1" customWidth="1"/>
    <col min="15615" max="15615" width="20" style="1" customWidth="1"/>
    <col min="15616" max="15616" width="17.28515625" style="1" customWidth="1"/>
    <col min="15617" max="15617" width="0" style="1" hidden="1" customWidth="1"/>
    <col min="15618" max="15618" width="1.5703125" style="1" customWidth="1"/>
    <col min="15619" max="15620" width="8.42578125" style="1"/>
    <col min="15621" max="15621" width="12.42578125" style="1" bestFit="1" customWidth="1"/>
    <col min="15622" max="15625" width="8.42578125" style="1"/>
    <col min="15626" max="15626" width="57" style="1" customWidth="1"/>
    <col min="15627" max="15864" width="8.42578125" style="1"/>
    <col min="15865" max="15865" width="8.85546875" style="1" customWidth="1"/>
    <col min="15866" max="15866" width="81" style="1" customWidth="1"/>
    <col min="15867" max="15867" width="8.5703125" style="1" customWidth="1"/>
    <col min="15868" max="15868" width="16.85546875" style="1" customWidth="1"/>
    <col min="15869" max="15869" width="16" style="1" customWidth="1"/>
    <col min="15870" max="15870" width="20.140625" style="1" customWidth="1"/>
    <col min="15871" max="15871" width="20" style="1" customWidth="1"/>
    <col min="15872" max="15872" width="17.28515625" style="1" customWidth="1"/>
    <col min="15873" max="15873" width="0" style="1" hidden="1" customWidth="1"/>
    <col min="15874" max="15874" width="1.5703125" style="1" customWidth="1"/>
    <col min="15875" max="15876" width="8.42578125" style="1"/>
    <col min="15877" max="15877" width="12.42578125" style="1" bestFit="1" customWidth="1"/>
    <col min="15878" max="15881" width="8.42578125" style="1"/>
    <col min="15882" max="15882" width="57" style="1" customWidth="1"/>
    <col min="15883" max="16120" width="8.42578125" style="1"/>
    <col min="16121" max="16121" width="8.85546875" style="1" customWidth="1"/>
    <col min="16122" max="16122" width="81" style="1" customWidth="1"/>
    <col min="16123" max="16123" width="8.5703125" style="1" customWidth="1"/>
    <col min="16124" max="16124" width="16.85546875" style="1" customWidth="1"/>
    <col min="16125" max="16125" width="16" style="1" customWidth="1"/>
    <col min="16126" max="16126" width="20.140625" style="1" customWidth="1"/>
    <col min="16127" max="16127" width="20" style="1" customWidth="1"/>
    <col min="16128" max="16128" width="17.28515625" style="1" customWidth="1"/>
    <col min="16129" max="16129" width="0" style="1" hidden="1" customWidth="1"/>
    <col min="16130" max="16130" width="1.5703125" style="1" customWidth="1"/>
    <col min="16131" max="16132" width="8.42578125" style="1"/>
    <col min="16133" max="16133" width="12.42578125" style="1" bestFit="1" customWidth="1"/>
    <col min="16134" max="16137" width="8.42578125" style="1"/>
    <col min="16138" max="16138" width="57" style="1" customWidth="1"/>
    <col min="16139" max="16384" width="8.42578125" style="1"/>
  </cols>
  <sheetData>
    <row r="1" spans="1:8" ht="39.75" customHeight="1" x14ac:dyDescent="0.2">
      <c r="A1" s="189"/>
      <c r="B1" s="189"/>
      <c r="C1" s="188"/>
      <c r="D1" s="187" t="s">
        <v>14</v>
      </c>
      <c r="E1" s="188"/>
      <c r="F1" s="188"/>
      <c r="G1" s="49"/>
      <c r="H1" s="49"/>
    </row>
    <row r="2" spans="1:8" ht="39.75" customHeight="1" x14ac:dyDescent="0.2">
      <c r="A2" s="188"/>
      <c r="B2" s="188"/>
      <c r="C2" s="188"/>
      <c r="D2" s="188"/>
      <c r="E2" s="188"/>
      <c r="F2" s="188"/>
      <c r="G2" s="50"/>
      <c r="H2" s="50"/>
    </row>
    <row r="3" spans="1:8" ht="39.75" customHeight="1" thickBot="1" x14ac:dyDescent="0.25">
      <c r="A3" s="184" t="s">
        <v>12</v>
      </c>
      <c r="B3" s="185"/>
      <c r="C3" s="185"/>
      <c r="D3" s="185"/>
      <c r="E3" s="185"/>
      <c r="F3" s="185"/>
      <c r="G3" s="185"/>
      <c r="H3" s="186"/>
    </row>
    <row r="4" spans="1:8" ht="25.5" customHeight="1" x14ac:dyDescent="0.2">
      <c r="A4" s="192" t="s">
        <v>13</v>
      </c>
      <c r="B4" s="193"/>
      <c r="C4" s="193"/>
      <c r="D4" s="190" t="s">
        <v>445</v>
      </c>
      <c r="E4" s="164" t="s">
        <v>841</v>
      </c>
      <c r="F4" s="165"/>
      <c r="G4" s="166"/>
      <c r="H4" s="139" t="s">
        <v>865</v>
      </c>
    </row>
    <row r="5" spans="1:8" ht="15.75" customHeight="1" x14ac:dyDescent="0.2">
      <c r="A5" s="194"/>
      <c r="B5" s="195"/>
      <c r="C5" s="195"/>
      <c r="D5" s="191"/>
      <c r="E5" s="167"/>
      <c r="F5" s="168"/>
      <c r="G5" s="169"/>
      <c r="H5" s="144" t="s">
        <v>5</v>
      </c>
    </row>
    <row r="6" spans="1:8" ht="15.75" customHeight="1" x14ac:dyDescent="0.2">
      <c r="A6" s="170" t="s">
        <v>77</v>
      </c>
      <c r="B6" s="171"/>
      <c r="C6" s="171"/>
      <c r="D6" s="172"/>
      <c r="E6" s="167"/>
      <c r="F6" s="168"/>
      <c r="G6" s="169"/>
      <c r="H6" s="144"/>
    </row>
    <row r="7" spans="1:8" ht="15.75" customHeight="1" x14ac:dyDescent="0.2">
      <c r="A7" s="173" t="s">
        <v>76</v>
      </c>
      <c r="B7" s="174"/>
      <c r="C7" s="174"/>
      <c r="D7" s="175"/>
      <c r="E7" s="167"/>
      <c r="F7" s="168"/>
      <c r="G7" s="169"/>
      <c r="H7" s="144"/>
    </row>
    <row r="8" spans="1:8" ht="15.75" customHeight="1" thickBot="1" x14ac:dyDescent="0.25">
      <c r="A8" s="170" t="s">
        <v>425</v>
      </c>
      <c r="B8" s="171"/>
      <c r="C8" s="171"/>
      <c r="D8" s="172"/>
      <c r="E8" s="167"/>
      <c r="F8" s="168"/>
      <c r="G8" s="169"/>
      <c r="H8" s="145"/>
    </row>
    <row r="9" spans="1:8" ht="15.75" customHeight="1" x14ac:dyDescent="0.2">
      <c r="A9" s="176" t="s">
        <v>0</v>
      </c>
      <c r="B9" s="160" t="s">
        <v>422</v>
      </c>
      <c r="C9" s="182" t="s">
        <v>20</v>
      </c>
      <c r="D9" s="178" t="s">
        <v>7</v>
      </c>
      <c r="E9" s="180" t="s">
        <v>9</v>
      </c>
      <c r="F9" s="160" t="s">
        <v>8</v>
      </c>
      <c r="G9" s="160" t="s">
        <v>10</v>
      </c>
      <c r="H9" s="162" t="s">
        <v>11</v>
      </c>
    </row>
    <row r="10" spans="1:8" ht="13.5" thickBot="1" x14ac:dyDescent="0.25">
      <c r="A10" s="177"/>
      <c r="B10" s="161"/>
      <c r="C10" s="183"/>
      <c r="D10" s="179"/>
      <c r="E10" s="181"/>
      <c r="F10" s="161"/>
      <c r="G10" s="161"/>
      <c r="H10" s="163"/>
    </row>
    <row r="11" spans="1:8" ht="15" x14ac:dyDescent="0.2">
      <c r="A11" s="89">
        <v>1</v>
      </c>
      <c r="B11" s="91"/>
      <c r="C11" s="91"/>
      <c r="D11" s="90" t="s">
        <v>93</v>
      </c>
      <c r="E11" s="90"/>
      <c r="F11" s="90"/>
      <c r="G11" s="90"/>
      <c r="H11" s="92"/>
    </row>
    <row r="12" spans="1:8" s="3" customFormat="1" ht="15" x14ac:dyDescent="0.25">
      <c r="A12" s="98" t="s">
        <v>440</v>
      </c>
      <c r="B12" s="112"/>
      <c r="C12" s="100"/>
      <c r="D12" s="99" t="s">
        <v>426</v>
      </c>
      <c r="E12" s="101"/>
      <c r="F12" s="100"/>
      <c r="G12" s="101"/>
      <c r="H12" s="102"/>
    </row>
    <row r="13" spans="1:8" s="3" customFormat="1" ht="14.25" x14ac:dyDescent="0.25">
      <c r="A13" s="146" t="s">
        <v>437</v>
      </c>
      <c r="B13" s="147" t="s">
        <v>432</v>
      </c>
      <c r="C13" s="147" t="s">
        <v>95</v>
      </c>
      <c r="D13" s="143" t="s">
        <v>427</v>
      </c>
      <c r="E13" s="147" t="s">
        <v>9</v>
      </c>
      <c r="F13" s="148">
        <v>3</v>
      </c>
      <c r="G13" s="149">
        <v>4006.34</v>
      </c>
      <c r="H13" s="150">
        <f>G13*F13</f>
        <v>12019.02</v>
      </c>
    </row>
    <row r="14" spans="1:8" s="3" customFormat="1" ht="14.25" x14ac:dyDescent="0.25">
      <c r="A14" s="146" t="s">
        <v>441</v>
      </c>
      <c r="B14" s="147" t="s">
        <v>433</v>
      </c>
      <c r="C14" s="147" t="s">
        <v>95</v>
      </c>
      <c r="D14" s="143" t="s">
        <v>428</v>
      </c>
      <c r="E14" s="147" t="s">
        <v>9</v>
      </c>
      <c r="F14" s="148">
        <v>5</v>
      </c>
      <c r="G14" s="149">
        <v>2973.59</v>
      </c>
      <c r="H14" s="150">
        <f t="shared" ref="H14:H17" si="0">G14*F14</f>
        <v>14867.95</v>
      </c>
    </row>
    <row r="15" spans="1:8" s="3" customFormat="1" ht="14.25" x14ac:dyDescent="0.25">
      <c r="A15" s="146" t="s">
        <v>442</v>
      </c>
      <c r="B15" s="147" t="s">
        <v>434</v>
      </c>
      <c r="C15" s="147" t="s">
        <v>95</v>
      </c>
      <c r="D15" s="143" t="s">
        <v>429</v>
      </c>
      <c r="E15" s="147" t="s">
        <v>9</v>
      </c>
      <c r="F15" s="148">
        <v>5</v>
      </c>
      <c r="G15" s="149">
        <v>1241.98</v>
      </c>
      <c r="H15" s="150">
        <f t="shared" si="0"/>
        <v>6209.9</v>
      </c>
    </row>
    <row r="16" spans="1:8" s="3" customFormat="1" ht="14.25" x14ac:dyDescent="0.25">
      <c r="A16" s="146" t="s">
        <v>443</v>
      </c>
      <c r="B16" s="147" t="s">
        <v>435</v>
      </c>
      <c r="C16" s="147" t="s">
        <v>95</v>
      </c>
      <c r="D16" s="143" t="s">
        <v>430</v>
      </c>
      <c r="E16" s="147" t="s">
        <v>9</v>
      </c>
      <c r="F16" s="148">
        <v>3</v>
      </c>
      <c r="G16" s="149">
        <v>1436.63</v>
      </c>
      <c r="H16" s="150">
        <f t="shared" si="0"/>
        <v>4309.8900000000003</v>
      </c>
    </row>
    <row r="17" spans="1:8" s="3" customFormat="1" ht="14.25" x14ac:dyDescent="0.25">
      <c r="A17" s="146" t="s">
        <v>444</v>
      </c>
      <c r="B17" s="147" t="s">
        <v>436</v>
      </c>
      <c r="C17" s="147" t="s">
        <v>95</v>
      </c>
      <c r="D17" s="143" t="s">
        <v>431</v>
      </c>
      <c r="E17" s="147" t="s">
        <v>9</v>
      </c>
      <c r="F17" s="148">
        <v>3</v>
      </c>
      <c r="G17" s="149">
        <v>2718.44</v>
      </c>
      <c r="H17" s="150">
        <f t="shared" si="0"/>
        <v>8155.32</v>
      </c>
    </row>
    <row r="18" spans="1:8" s="3" customFormat="1" ht="15" x14ac:dyDescent="0.25">
      <c r="A18" s="93"/>
      <c r="B18" s="86"/>
      <c r="C18" s="86"/>
      <c r="D18" s="94" t="s">
        <v>438</v>
      </c>
      <c r="E18" s="95"/>
      <c r="F18" s="96"/>
      <c r="G18" s="95"/>
      <c r="H18" s="97">
        <f>SUM(H13:H17)</f>
        <v>45562.080000000002</v>
      </c>
    </row>
    <row r="19" spans="1:8" s="3" customFormat="1" ht="15" x14ac:dyDescent="0.25">
      <c r="A19" s="89">
        <v>2</v>
      </c>
      <c r="B19" s="91"/>
      <c r="C19" s="91"/>
      <c r="D19" s="90" t="s">
        <v>439</v>
      </c>
      <c r="E19" s="90"/>
      <c r="F19" s="90"/>
      <c r="G19" s="90"/>
      <c r="H19" s="92"/>
    </row>
    <row r="20" spans="1:8" s="3" customFormat="1" ht="14.25" x14ac:dyDescent="0.25">
      <c r="A20" s="151" t="s">
        <v>466</v>
      </c>
      <c r="B20" s="152" t="s">
        <v>94</v>
      </c>
      <c r="C20" s="152" t="s">
        <v>95</v>
      </c>
      <c r="D20" s="153" t="s">
        <v>96</v>
      </c>
      <c r="E20" s="152" t="s">
        <v>97</v>
      </c>
      <c r="F20" s="154">
        <v>10</v>
      </c>
      <c r="G20" s="155">
        <v>887.6</v>
      </c>
      <c r="H20" s="156">
        <f>G20*F20</f>
        <v>8876</v>
      </c>
    </row>
    <row r="21" spans="1:8" s="3" customFormat="1" ht="14.25" x14ac:dyDescent="0.25">
      <c r="A21" s="151" t="s">
        <v>467</v>
      </c>
      <c r="B21" s="147" t="s">
        <v>98</v>
      </c>
      <c r="C21" s="147" t="s">
        <v>95</v>
      </c>
      <c r="D21" s="143" t="s">
        <v>99</v>
      </c>
      <c r="E21" s="147" t="s">
        <v>100</v>
      </c>
      <c r="F21" s="148">
        <v>25</v>
      </c>
      <c r="G21" s="149">
        <v>542.6</v>
      </c>
      <c r="H21" s="150">
        <f>G21*F21</f>
        <v>13565</v>
      </c>
    </row>
    <row r="22" spans="1:8" s="3" customFormat="1" ht="28.5" x14ac:dyDescent="0.25">
      <c r="A22" s="151" t="s">
        <v>468</v>
      </c>
      <c r="B22" s="147" t="s">
        <v>101</v>
      </c>
      <c r="C22" s="147" t="s">
        <v>95</v>
      </c>
      <c r="D22" s="143" t="s">
        <v>102</v>
      </c>
      <c r="E22" s="147" t="s">
        <v>27</v>
      </c>
      <c r="F22" s="148">
        <v>1</v>
      </c>
      <c r="G22" s="149">
        <v>1336.95</v>
      </c>
      <c r="H22" s="150">
        <f t="shared" ref="H22:H77" si="1">G22*F22</f>
        <v>1336.95</v>
      </c>
    </row>
    <row r="23" spans="1:8" s="3" customFormat="1" ht="14.25" x14ac:dyDescent="0.25">
      <c r="A23" s="151" t="s">
        <v>469</v>
      </c>
      <c r="B23" s="147" t="s">
        <v>103</v>
      </c>
      <c r="C23" s="147" t="s">
        <v>95</v>
      </c>
      <c r="D23" s="143" t="s">
        <v>104</v>
      </c>
      <c r="E23" s="147" t="s">
        <v>27</v>
      </c>
      <c r="F23" s="148">
        <v>3</v>
      </c>
      <c r="G23" s="149">
        <v>887.6</v>
      </c>
      <c r="H23" s="150">
        <f t="shared" si="1"/>
        <v>2662.8</v>
      </c>
    </row>
    <row r="24" spans="1:8" s="3" customFormat="1" ht="42.75" x14ac:dyDescent="0.25">
      <c r="A24" s="151" t="s">
        <v>470</v>
      </c>
      <c r="B24" s="147" t="s">
        <v>105</v>
      </c>
      <c r="C24" s="147" t="s">
        <v>23</v>
      </c>
      <c r="D24" s="143" t="s">
        <v>106</v>
      </c>
      <c r="E24" s="147" t="s">
        <v>27</v>
      </c>
      <c r="F24" s="148">
        <v>1</v>
      </c>
      <c r="G24" s="149">
        <v>613.17999999999995</v>
      </c>
      <c r="H24" s="150">
        <f t="shared" si="1"/>
        <v>613.17999999999995</v>
      </c>
    </row>
    <row r="25" spans="1:8" s="3" customFormat="1" ht="14.25" x14ac:dyDescent="0.25">
      <c r="A25" s="151" t="s">
        <v>471</v>
      </c>
      <c r="B25" s="147">
        <v>95673</v>
      </c>
      <c r="C25" s="147" t="s">
        <v>23</v>
      </c>
      <c r="D25" s="143" t="s">
        <v>107</v>
      </c>
      <c r="E25" s="147" t="s">
        <v>27</v>
      </c>
      <c r="F25" s="148">
        <v>1</v>
      </c>
      <c r="G25" s="149">
        <v>121.89</v>
      </c>
      <c r="H25" s="150">
        <f t="shared" si="1"/>
        <v>121.89</v>
      </c>
    </row>
    <row r="26" spans="1:8" s="3" customFormat="1" ht="42.75" x14ac:dyDescent="0.25">
      <c r="A26" s="151" t="s">
        <v>472</v>
      </c>
      <c r="B26" s="147">
        <v>101509</v>
      </c>
      <c r="C26" s="147" t="s">
        <v>23</v>
      </c>
      <c r="D26" s="143" t="s">
        <v>108</v>
      </c>
      <c r="E26" s="147" t="s">
        <v>672</v>
      </c>
      <c r="F26" s="148">
        <v>1</v>
      </c>
      <c r="G26" s="149">
        <v>2056.33</v>
      </c>
      <c r="H26" s="150">
        <f t="shared" si="1"/>
        <v>2056.33</v>
      </c>
    </row>
    <row r="27" spans="1:8" s="3" customFormat="1" ht="28.5" x14ac:dyDescent="0.25">
      <c r="A27" s="151" t="s">
        <v>473</v>
      </c>
      <c r="B27" s="147">
        <v>103689</v>
      </c>
      <c r="C27" s="147" t="s">
        <v>23</v>
      </c>
      <c r="D27" s="143" t="s">
        <v>87</v>
      </c>
      <c r="E27" s="147" t="s">
        <v>100</v>
      </c>
      <c r="F27" s="148">
        <v>25</v>
      </c>
      <c r="G27" s="149">
        <v>470.08</v>
      </c>
      <c r="H27" s="150">
        <f t="shared" si="1"/>
        <v>11752</v>
      </c>
    </row>
    <row r="28" spans="1:8" s="3" customFormat="1" ht="28.5" x14ac:dyDescent="0.25">
      <c r="A28" s="151" t="s">
        <v>474</v>
      </c>
      <c r="B28" s="147" t="s">
        <v>109</v>
      </c>
      <c r="C28" s="147" t="s">
        <v>95</v>
      </c>
      <c r="D28" s="143" t="s">
        <v>110</v>
      </c>
      <c r="E28" s="147" t="s">
        <v>111</v>
      </c>
      <c r="F28" s="148">
        <v>100</v>
      </c>
      <c r="G28" s="149">
        <v>107.65</v>
      </c>
      <c r="H28" s="150">
        <f t="shared" si="1"/>
        <v>10765</v>
      </c>
    </row>
    <row r="29" spans="1:8" s="3" customFormat="1" ht="14.25" x14ac:dyDescent="0.25">
      <c r="A29" s="151" t="s">
        <v>475</v>
      </c>
      <c r="B29" s="147">
        <v>98459</v>
      </c>
      <c r="C29" s="147" t="s">
        <v>23</v>
      </c>
      <c r="D29" s="143" t="s">
        <v>112</v>
      </c>
      <c r="E29" s="147" t="s">
        <v>100</v>
      </c>
      <c r="F29" s="148">
        <v>184</v>
      </c>
      <c r="G29" s="149">
        <v>93.27</v>
      </c>
      <c r="H29" s="150">
        <f t="shared" si="1"/>
        <v>17161.68</v>
      </c>
    </row>
    <row r="30" spans="1:8" s="3" customFormat="1" ht="14.25" x14ac:dyDescent="0.25">
      <c r="A30" s="151" t="s">
        <v>476</v>
      </c>
      <c r="B30" s="147" t="s">
        <v>113</v>
      </c>
      <c r="C30" s="147" t="s">
        <v>95</v>
      </c>
      <c r="D30" s="143" t="s">
        <v>114</v>
      </c>
      <c r="E30" s="147" t="s">
        <v>115</v>
      </c>
      <c r="F30" s="148">
        <v>1072.18</v>
      </c>
      <c r="G30" s="149">
        <v>20.93</v>
      </c>
      <c r="H30" s="150">
        <f t="shared" si="1"/>
        <v>22440.73</v>
      </c>
    </row>
    <row r="31" spans="1:8" s="3" customFormat="1" ht="15" x14ac:dyDescent="0.25">
      <c r="A31" s="93"/>
      <c r="B31" s="86"/>
      <c r="C31" s="86"/>
      <c r="D31" s="94" t="s">
        <v>438</v>
      </c>
      <c r="E31" s="95"/>
      <c r="F31" s="96"/>
      <c r="G31" s="95"/>
      <c r="H31" s="97">
        <f>SUM(H20:H30)</f>
        <v>91351.56</v>
      </c>
    </row>
    <row r="32" spans="1:8" s="3" customFormat="1" ht="15" x14ac:dyDescent="0.25">
      <c r="A32" s="89">
        <v>3</v>
      </c>
      <c r="B32" s="91"/>
      <c r="C32" s="91"/>
      <c r="D32" s="90" t="s">
        <v>116</v>
      </c>
      <c r="E32" s="90"/>
      <c r="F32" s="90"/>
      <c r="G32" s="90"/>
      <c r="H32" s="92"/>
    </row>
    <row r="33" spans="1:8" s="3" customFormat="1" ht="28.5" x14ac:dyDescent="0.25">
      <c r="A33" s="151" t="s">
        <v>477</v>
      </c>
      <c r="B33" s="147">
        <v>99059</v>
      </c>
      <c r="C33" s="147" t="s">
        <v>23</v>
      </c>
      <c r="D33" s="143" t="s">
        <v>117</v>
      </c>
      <c r="E33" s="147" t="s">
        <v>24</v>
      </c>
      <c r="F33" s="148">
        <f>119.12*0.9</f>
        <v>107.21</v>
      </c>
      <c r="G33" s="149">
        <v>74.63</v>
      </c>
      <c r="H33" s="150">
        <f t="shared" si="1"/>
        <v>8001.08</v>
      </c>
    </row>
    <row r="34" spans="1:8" s="3" customFormat="1" ht="57" x14ac:dyDescent="0.25">
      <c r="A34" s="151" t="s">
        <v>478</v>
      </c>
      <c r="B34" s="147">
        <v>90100</v>
      </c>
      <c r="C34" s="147" t="s">
        <v>23</v>
      </c>
      <c r="D34" s="143" t="s">
        <v>118</v>
      </c>
      <c r="E34" s="147" t="s">
        <v>111</v>
      </c>
      <c r="F34" s="148">
        <f>349.12*0.9</f>
        <v>314.20999999999998</v>
      </c>
      <c r="G34" s="149">
        <v>14.36</v>
      </c>
      <c r="H34" s="150">
        <f t="shared" si="1"/>
        <v>4512.0600000000004</v>
      </c>
    </row>
    <row r="35" spans="1:8" s="3" customFormat="1" ht="14.25" x14ac:dyDescent="0.25">
      <c r="A35" s="151" t="s">
        <v>479</v>
      </c>
      <c r="B35" s="147">
        <v>93358</v>
      </c>
      <c r="C35" s="147" t="s">
        <v>23</v>
      </c>
      <c r="D35" s="143" t="s">
        <v>25</v>
      </c>
      <c r="E35" s="147" t="s">
        <v>111</v>
      </c>
      <c r="F35" s="148">
        <f>87.28*0.9</f>
        <v>78.55</v>
      </c>
      <c r="G35" s="149">
        <v>115.98</v>
      </c>
      <c r="H35" s="150">
        <f t="shared" si="1"/>
        <v>9110.23</v>
      </c>
    </row>
    <row r="36" spans="1:8" s="3" customFormat="1" ht="42.75" x14ac:dyDescent="0.25">
      <c r="A36" s="151" t="s">
        <v>480</v>
      </c>
      <c r="B36" s="147">
        <v>100324</v>
      </c>
      <c r="C36" s="147" t="s">
        <v>23</v>
      </c>
      <c r="D36" s="143" t="s">
        <v>119</v>
      </c>
      <c r="E36" s="147" t="s">
        <v>111</v>
      </c>
      <c r="F36" s="148">
        <f>65.03*0.9</f>
        <v>58.53</v>
      </c>
      <c r="G36" s="149">
        <v>164.89</v>
      </c>
      <c r="H36" s="150">
        <f t="shared" si="1"/>
        <v>9651.01</v>
      </c>
    </row>
    <row r="37" spans="1:8" s="3" customFormat="1" ht="28.5" x14ac:dyDescent="0.25">
      <c r="A37" s="151" t="s">
        <v>481</v>
      </c>
      <c r="B37" s="147">
        <v>96534</v>
      </c>
      <c r="C37" s="147" t="s">
        <v>23</v>
      </c>
      <c r="D37" s="143" t="s">
        <v>120</v>
      </c>
      <c r="E37" s="147" t="s">
        <v>100</v>
      </c>
      <c r="F37" s="148">
        <f>607.2*0.9</f>
        <v>546.48</v>
      </c>
      <c r="G37" s="149">
        <v>86.78</v>
      </c>
      <c r="H37" s="150">
        <f t="shared" si="1"/>
        <v>47423.53</v>
      </c>
    </row>
    <row r="38" spans="1:8" s="3" customFormat="1" ht="14.25" x14ac:dyDescent="0.25">
      <c r="A38" s="151" t="s">
        <v>482</v>
      </c>
      <c r="B38" s="147">
        <v>96543</v>
      </c>
      <c r="C38" s="147" t="s">
        <v>23</v>
      </c>
      <c r="D38" s="143" t="s">
        <v>121</v>
      </c>
      <c r="E38" s="147" t="s">
        <v>32</v>
      </c>
      <c r="F38" s="148">
        <f>708.8*0.9</f>
        <v>637.91999999999996</v>
      </c>
      <c r="G38" s="149">
        <v>22.26</v>
      </c>
      <c r="H38" s="150">
        <f t="shared" si="1"/>
        <v>14200.1</v>
      </c>
    </row>
    <row r="39" spans="1:8" s="3" customFormat="1" ht="14.25" x14ac:dyDescent="0.25">
      <c r="A39" s="151" t="s">
        <v>483</v>
      </c>
      <c r="B39" s="147">
        <v>96544</v>
      </c>
      <c r="C39" s="147" t="s">
        <v>23</v>
      </c>
      <c r="D39" s="143" t="s">
        <v>122</v>
      </c>
      <c r="E39" s="147" t="s">
        <v>32</v>
      </c>
      <c r="F39" s="148">
        <f>3.5*0.9</f>
        <v>3.15</v>
      </c>
      <c r="G39" s="149">
        <v>19.48</v>
      </c>
      <c r="H39" s="150">
        <f t="shared" si="1"/>
        <v>61.36</v>
      </c>
    </row>
    <row r="40" spans="1:8" s="3" customFormat="1" ht="14.25" x14ac:dyDescent="0.25">
      <c r="A40" s="151" t="s">
        <v>484</v>
      </c>
      <c r="B40" s="147">
        <v>96545</v>
      </c>
      <c r="C40" s="147" t="s">
        <v>23</v>
      </c>
      <c r="D40" s="143" t="s">
        <v>123</v>
      </c>
      <c r="E40" s="147" t="s">
        <v>32</v>
      </c>
      <c r="F40" s="148">
        <f>1554.8*0.9</f>
        <v>1399.32</v>
      </c>
      <c r="G40" s="149">
        <v>17.13</v>
      </c>
      <c r="H40" s="150">
        <f t="shared" si="1"/>
        <v>23970.35</v>
      </c>
    </row>
    <row r="41" spans="1:8" s="3" customFormat="1" ht="14.25" x14ac:dyDescent="0.25">
      <c r="A41" s="151" t="s">
        <v>485</v>
      </c>
      <c r="B41" s="147">
        <v>96546</v>
      </c>
      <c r="C41" s="147" t="s">
        <v>23</v>
      </c>
      <c r="D41" s="143" t="s">
        <v>124</v>
      </c>
      <c r="E41" s="147" t="s">
        <v>32</v>
      </c>
      <c r="F41" s="148">
        <f>1466.8*0.9</f>
        <v>1320.12</v>
      </c>
      <c r="G41" s="149">
        <v>14.75</v>
      </c>
      <c r="H41" s="150">
        <f t="shared" si="1"/>
        <v>19471.77</v>
      </c>
    </row>
    <row r="42" spans="1:8" s="3" customFormat="1" ht="28.5" x14ac:dyDescent="0.25">
      <c r="A42" s="151" t="s">
        <v>486</v>
      </c>
      <c r="B42" s="147">
        <v>104920</v>
      </c>
      <c r="C42" s="147" t="s">
        <v>23</v>
      </c>
      <c r="D42" s="143" t="s">
        <v>125</v>
      </c>
      <c r="E42" s="147" t="s">
        <v>32</v>
      </c>
      <c r="F42" s="148">
        <f>687.2*0.9</f>
        <v>618.48</v>
      </c>
      <c r="G42" s="149">
        <v>11.08</v>
      </c>
      <c r="H42" s="150">
        <f t="shared" si="1"/>
        <v>6852.76</v>
      </c>
    </row>
    <row r="43" spans="1:8" s="3" customFormat="1" ht="28.5" x14ac:dyDescent="0.25">
      <c r="A43" s="151" t="s">
        <v>487</v>
      </c>
      <c r="B43" s="147">
        <v>104921</v>
      </c>
      <c r="C43" s="147" t="s">
        <v>23</v>
      </c>
      <c r="D43" s="143" t="s">
        <v>126</v>
      </c>
      <c r="E43" s="147" t="s">
        <v>32</v>
      </c>
      <c r="F43" s="148">
        <f>86.9*0.9</f>
        <v>78.209999999999994</v>
      </c>
      <c r="G43" s="149">
        <v>10.28</v>
      </c>
      <c r="H43" s="150">
        <f t="shared" si="1"/>
        <v>804</v>
      </c>
    </row>
    <row r="44" spans="1:8" s="3" customFormat="1" ht="28.5" x14ac:dyDescent="0.25">
      <c r="A44" s="151" t="s">
        <v>488</v>
      </c>
      <c r="B44" s="147">
        <v>96557</v>
      </c>
      <c r="C44" s="147" t="s">
        <v>23</v>
      </c>
      <c r="D44" s="143" t="s">
        <v>127</v>
      </c>
      <c r="E44" s="147" t="s">
        <v>111</v>
      </c>
      <c r="F44" s="148">
        <f>84.5*0.9</f>
        <v>76.05</v>
      </c>
      <c r="G44" s="149">
        <v>619.16999999999996</v>
      </c>
      <c r="H44" s="150">
        <f t="shared" si="1"/>
        <v>47087.88</v>
      </c>
    </row>
    <row r="45" spans="1:8" s="3" customFormat="1" ht="14.25" x14ac:dyDescent="0.25">
      <c r="A45" s="151" t="s">
        <v>489</v>
      </c>
      <c r="B45" s="147">
        <v>100574</v>
      </c>
      <c r="C45" s="147" t="s">
        <v>23</v>
      </c>
      <c r="D45" s="143" t="s">
        <v>128</v>
      </c>
      <c r="E45" s="147" t="s">
        <v>111</v>
      </c>
      <c r="F45" s="148">
        <f>355.64*0.9</f>
        <v>320.08</v>
      </c>
      <c r="G45" s="149">
        <v>1.49</v>
      </c>
      <c r="H45" s="150">
        <f t="shared" si="1"/>
        <v>476.92</v>
      </c>
    </row>
    <row r="46" spans="1:8" s="3" customFormat="1" ht="28.5" x14ac:dyDescent="0.25">
      <c r="A46" s="151" t="s">
        <v>490</v>
      </c>
      <c r="B46" s="147">
        <v>93382</v>
      </c>
      <c r="C46" s="147" t="s">
        <v>23</v>
      </c>
      <c r="D46" s="143" t="s">
        <v>26</v>
      </c>
      <c r="E46" s="147" t="s">
        <v>111</v>
      </c>
      <c r="F46" s="148">
        <f>458.17*0.9</f>
        <v>412.35</v>
      </c>
      <c r="G46" s="149">
        <v>32.799999999999997</v>
      </c>
      <c r="H46" s="150">
        <f t="shared" si="1"/>
        <v>13525.08</v>
      </c>
    </row>
    <row r="47" spans="1:8" s="3" customFormat="1" ht="28.5" x14ac:dyDescent="0.25">
      <c r="A47" s="151" t="s">
        <v>491</v>
      </c>
      <c r="B47" s="147">
        <v>98557</v>
      </c>
      <c r="C47" s="147" t="s">
        <v>23</v>
      </c>
      <c r="D47" s="143" t="s">
        <v>129</v>
      </c>
      <c r="E47" s="147" t="s">
        <v>100</v>
      </c>
      <c r="F47" s="148">
        <f>607.2*0.9</f>
        <v>546.48</v>
      </c>
      <c r="G47" s="149">
        <v>44.38</v>
      </c>
      <c r="H47" s="150">
        <f t="shared" si="1"/>
        <v>24252.78</v>
      </c>
    </row>
    <row r="48" spans="1:8" s="3" customFormat="1" ht="15" x14ac:dyDescent="0.25">
      <c r="A48" s="93"/>
      <c r="B48" s="86"/>
      <c r="C48" s="86"/>
      <c r="D48" s="94" t="s">
        <v>438</v>
      </c>
      <c r="E48" s="95"/>
      <c r="F48" s="96"/>
      <c r="G48" s="95"/>
      <c r="H48" s="97">
        <f>SUM(H33:H47)</f>
        <v>229400.91</v>
      </c>
    </row>
    <row r="49" spans="1:10" s="3" customFormat="1" ht="15" x14ac:dyDescent="0.25">
      <c r="A49" s="89">
        <v>4</v>
      </c>
      <c r="B49" s="91"/>
      <c r="C49" s="91"/>
      <c r="D49" s="90" t="s">
        <v>1</v>
      </c>
      <c r="E49" s="90"/>
      <c r="F49" s="90"/>
      <c r="G49" s="90"/>
      <c r="H49" s="92"/>
    </row>
    <row r="50" spans="1:10" s="3" customFormat="1" ht="15" x14ac:dyDescent="0.25">
      <c r="A50" s="98" t="s">
        <v>492</v>
      </c>
      <c r="B50" s="112"/>
      <c r="C50" s="100"/>
      <c r="D50" s="99" t="s">
        <v>130</v>
      </c>
      <c r="E50" s="101"/>
      <c r="F50" s="100"/>
      <c r="G50" s="101"/>
      <c r="H50" s="102"/>
    </row>
    <row r="51" spans="1:10" s="3" customFormat="1" ht="42.75" x14ac:dyDescent="0.25">
      <c r="A51" s="146" t="s">
        <v>493</v>
      </c>
      <c r="B51" s="147">
        <v>92423</v>
      </c>
      <c r="C51" s="147" t="s">
        <v>23</v>
      </c>
      <c r="D51" s="143" t="s">
        <v>131</v>
      </c>
      <c r="E51" s="147" t="s">
        <v>100</v>
      </c>
      <c r="F51" s="148">
        <v>344.2</v>
      </c>
      <c r="G51" s="149">
        <v>77.62</v>
      </c>
      <c r="H51" s="150">
        <f t="shared" si="1"/>
        <v>26716.799999999999</v>
      </c>
    </row>
    <row r="52" spans="1:10" s="3" customFormat="1" ht="28.5" x14ac:dyDescent="0.25">
      <c r="A52" s="146" t="s">
        <v>494</v>
      </c>
      <c r="B52" s="147">
        <v>92762</v>
      </c>
      <c r="C52" s="147" t="s">
        <v>23</v>
      </c>
      <c r="D52" s="143" t="s">
        <v>132</v>
      </c>
      <c r="E52" s="147" t="s">
        <v>32</v>
      </c>
      <c r="F52" s="148">
        <v>856.2</v>
      </c>
      <c r="G52" s="149">
        <v>11.01</v>
      </c>
      <c r="H52" s="150">
        <f t="shared" si="1"/>
        <v>9426.76</v>
      </c>
      <c r="J52" s="46"/>
    </row>
    <row r="53" spans="1:10" s="3" customFormat="1" ht="28.5" x14ac:dyDescent="0.25">
      <c r="A53" s="146" t="s">
        <v>495</v>
      </c>
      <c r="B53" s="147">
        <v>92763</v>
      </c>
      <c r="C53" s="147" t="s">
        <v>23</v>
      </c>
      <c r="D53" s="143" t="s">
        <v>133</v>
      </c>
      <c r="E53" s="147" t="s">
        <v>32</v>
      </c>
      <c r="F53" s="148">
        <v>85.6</v>
      </c>
      <c r="G53" s="149">
        <v>9.17</v>
      </c>
      <c r="H53" s="150">
        <f t="shared" si="1"/>
        <v>784.95</v>
      </c>
      <c r="J53" s="46"/>
    </row>
    <row r="54" spans="1:10" s="3" customFormat="1" ht="28.5" x14ac:dyDescent="0.25">
      <c r="A54" s="146" t="s">
        <v>496</v>
      </c>
      <c r="B54" s="147">
        <v>92764</v>
      </c>
      <c r="C54" s="147" t="s">
        <v>23</v>
      </c>
      <c r="D54" s="143" t="s">
        <v>134</v>
      </c>
      <c r="E54" s="147" t="s">
        <v>32</v>
      </c>
      <c r="F54" s="148">
        <v>343.7</v>
      </c>
      <c r="G54" s="149">
        <v>8.7899999999999991</v>
      </c>
      <c r="H54" s="150">
        <f t="shared" si="1"/>
        <v>3021.12</v>
      </c>
      <c r="J54" s="46"/>
    </row>
    <row r="55" spans="1:10" s="3" customFormat="1" ht="28.5" x14ac:dyDescent="0.25">
      <c r="A55" s="146" t="s">
        <v>497</v>
      </c>
      <c r="B55" s="147">
        <v>92759</v>
      </c>
      <c r="C55" s="147" t="s">
        <v>23</v>
      </c>
      <c r="D55" s="143" t="s">
        <v>135</v>
      </c>
      <c r="E55" s="147" t="s">
        <v>32</v>
      </c>
      <c r="F55" s="148">
        <v>496.3</v>
      </c>
      <c r="G55" s="149">
        <v>14.92</v>
      </c>
      <c r="H55" s="150">
        <f t="shared" si="1"/>
        <v>7404.8</v>
      </c>
      <c r="J55" s="46"/>
    </row>
    <row r="56" spans="1:10" s="3" customFormat="1" ht="28.5" x14ac:dyDescent="0.25">
      <c r="A56" s="146" t="s">
        <v>498</v>
      </c>
      <c r="B56" s="147">
        <v>103669</v>
      </c>
      <c r="C56" s="147" t="s">
        <v>23</v>
      </c>
      <c r="D56" s="143" t="s">
        <v>446</v>
      </c>
      <c r="E56" s="147" t="s">
        <v>22</v>
      </c>
      <c r="F56" s="148">
        <v>22.3</v>
      </c>
      <c r="G56" s="149">
        <v>570.59</v>
      </c>
      <c r="H56" s="150">
        <f t="shared" si="1"/>
        <v>12724.16</v>
      </c>
      <c r="J56" s="46"/>
    </row>
    <row r="57" spans="1:10" s="3" customFormat="1" ht="15" x14ac:dyDescent="0.25">
      <c r="A57" s="98" t="s">
        <v>499</v>
      </c>
      <c r="B57" s="112"/>
      <c r="C57" s="100"/>
      <c r="D57" s="99" t="s">
        <v>136</v>
      </c>
      <c r="E57" s="101"/>
      <c r="F57" s="100"/>
      <c r="G57" s="101"/>
      <c r="H57" s="102"/>
    </row>
    <row r="58" spans="1:10" s="3" customFormat="1" ht="28.5" x14ac:dyDescent="0.25">
      <c r="A58" s="146" t="s">
        <v>500</v>
      </c>
      <c r="B58" s="147">
        <v>92460</v>
      </c>
      <c r="C58" s="147" t="s">
        <v>23</v>
      </c>
      <c r="D58" s="143" t="s">
        <v>137</v>
      </c>
      <c r="E58" s="147" t="s">
        <v>100</v>
      </c>
      <c r="F58" s="148">
        <f>0.9*380.9</f>
        <v>342.81</v>
      </c>
      <c r="G58" s="149">
        <v>139.35</v>
      </c>
      <c r="H58" s="150">
        <f t="shared" si="1"/>
        <v>47770.57</v>
      </c>
    </row>
    <row r="59" spans="1:10" s="3" customFormat="1" ht="28.5" x14ac:dyDescent="0.25">
      <c r="A59" s="146" t="s">
        <v>501</v>
      </c>
      <c r="B59" s="147">
        <v>92760</v>
      </c>
      <c r="C59" s="147" t="s">
        <v>23</v>
      </c>
      <c r="D59" s="143" t="s">
        <v>138</v>
      </c>
      <c r="E59" s="147" t="s">
        <v>32</v>
      </c>
      <c r="F59" s="148">
        <f>0.9*384.8</f>
        <v>346.32</v>
      </c>
      <c r="G59" s="149">
        <v>13.64</v>
      </c>
      <c r="H59" s="150">
        <f t="shared" si="1"/>
        <v>4723.8</v>
      </c>
      <c r="J59" s="46"/>
    </row>
    <row r="60" spans="1:10" s="3" customFormat="1" ht="28.5" x14ac:dyDescent="0.25">
      <c r="A60" s="146" t="s">
        <v>502</v>
      </c>
      <c r="B60" s="147">
        <v>92761</v>
      </c>
      <c r="C60" s="147" t="s">
        <v>23</v>
      </c>
      <c r="D60" s="143" t="s">
        <v>33</v>
      </c>
      <c r="E60" s="147" t="s">
        <v>32</v>
      </c>
      <c r="F60" s="148">
        <f>0.9*113.6</f>
        <v>102.24</v>
      </c>
      <c r="G60" s="149">
        <v>12.52</v>
      </c>
      <c r="H60" s="150">
        <f t="shared" si="1"/>
        <v>1280.04</v>
      </c>
      <c r="J60" s="46"/>
    </row>
    <row r="61" spans="1:10" s="3" customFormat="1" ht="28.5" x14ac:dyDescent="0.25">
      <c r="A61" s="146" t="s">
        <v>503</v>
      </c>
      <c r="B61" s="147">
        <v>92762</v>
      </c>
      <c r="C61" s="147" t="s">
        <v>23</v>
      </c>
      <c r="D61" s="143" t="s">
        <v>132</v>
      </c>
      <c r="E61" s="147" t="s">
        <v>32</v>
      </c>
      <c r="F61" s="148">
        <f>0.9*930.4</f>
        <v>837.36</v>
      </c>
      <c r="G61" s="149">
        <v>11.01</v>
      </c>
      <c r="H61" s="150">
        <f t="shared" si="1"/>
        <v>9219.33</v>
      </c>
      <c r="J61" s="46"/>
    </row>
    <row r="62" spans="1:10" s="3" customFormat="1" ht="28.5" x14ac:dyDescent="0.25">
      <c r="A62" s="146" t="s">
        <v>504</v>
      </c>
      <c r="B62" s="147">
        <v>92763</v>
      </c>
      <c r="C62" s="147" t="s">
        <v>23</v>
      </c>
      <c r="D62" s="143" t="s">
        <v>133</v>
      </c>
      <c r="E62" s="147" t="s">
        <v>32</v>
      </c>
      <c r="F62" s="148">
        <f>0.9*745.5</f>
        <v>670.95</v>
      </c>
      <c r="G62" s="149">
        <v>9.17</v>
      </c>
      <c r="H62" s="150">
        <f t="shared" si="1"/>
        <v>6152.61</v>
      </c>
      <c r="J62" s="46"/>
    </row>
    <row r="63" spans="1:10" s="3" customFormat="1" ht="28.5" x14ac:dyDescent="0.25">
      <c r="A63" s="146" t="s">
        <v>505</v>
      </c>
      <c r="B63" s="147">
        <v>92764</v>
      </c>
      <c r="C63" s="147" t="s">
        <v>23</v>
      </c>
      <c r="D63" s="143" t="s">
        <v>134</v>
      </c>
      <c r="E63" s="147" t="s">
        <v>32</v>
      </c>
      <c r="F63" s="148">
        <f>0.9*323.5</f>
        <v>291.14999999999998</v>
      </c>
      <c r="G63" s="149">
        <v>8.7899999999999991</v>
      </c>
      <c r="H63" s="150">
        <f t="shared" si="1"/>
        <v>2559.21</v>
      </c>
      <c r="J63" s="46"/>
    </row>
    <row r="64" spans="1:10" s="3" customFormat="1" ht="28.5" x14ac:dyDescent="0.25">
      <c r="A64" s="146" t="s">
        <v>506</v>
      </c>
      <c r="B64" s="147">
        <v>92765</v>
      </c>
      <c r="C64" s="147" t="s">
        <v>23</v>
      </c>
      <c r="D64" s="143" t="s">
        <v>139</v>
      </c>
      <c r="E64" s="147" t="s">
        <v>32</v>
      </c>
      <c r="F64" s="148">
        <f>0.9*53.2</f>
        <v>47.88</v>
      </c>
      <c r="G64" s="149">
        <v>9.92</v>
      </c>
      <c r="H64" s="150">
        <f t="shared" si="1"/>
        <v>474.97</v>
      </c>
      <c r="J64" s="46"/>
    </row>
    <row r="65" spans="1:8" s="3" customFormat="1" ht="28.5" x14ac:dyDescent="0.25">
      <c r="A65" s="146" t="s">
        <v>507</v>
      </c>
      <c r="B65" s="147">
        <v>92759</v>
      </c>
      <c r="C65" s="147" t="s">
        <v>23</v>
      </c>
      <c r="D65" s="143" t="s">
        <v>135</v>
      </c>
      <c r="E65" s="147" t="s">
        <v>32</v>
      </c>
      <c r="F65" s="148">
        <f>0.9*582.4</f>
        <v>524.16</v>
      </c>
      <c r="G65" s="149">
        <v>14.92</v>
      </c>
      <c r="H65" s="150">
        <f t="shared" si="1"/>
        <v>7820.47</v>
      </c>
    </row>
    <row r="66" spans="1:8" s="3" customFormat="1" ht="42.75" x14ac:dyDescent="0.25">
      <c r="A66" s="146" t="s">
        <v>508</v>
      </c>
      <c r="B66" s="147">
        <v>103675</v>
      </c>
      <c r="C66" s="147" t="s">
        <v>23</v>
      </c>
      <c r="D66" s="143" t="s">
        <v>447</v>
      </c>
      <c r="E66" s="147" t="s">
        <v>111</v>
      </c>
      <c r="F66" s="148">
        <f>0.9*41.1</f>
        <v>36.99</v>
      </c>
      <c r="G66" s="149">
        <v>569.92999999999995</v>
      </c>
      <c r="H66" s="150">
        <f t="shared" si="1"/>
        <v>21081.71</v>
      </c>
    </row>
    <row r="67" spans="1:8" s="3" customFormat="1" ht="15" x14ac:dyDescent="0.25">
      <c r="A67" s="98" t="s">
        <v>509</v>
      </c>
      <c r="B67" s="112"/>
      <c r="C67" s="100"/>
      <c r="D67" s="99" t="s">
        <v>140</v>
      </c>
      <c r="E67" s="101"/>
      <c r="F67" s="100"/>
      <c r="G67" s="101"/>
      <c r="H67" s="102"/>
    </row>
    <row r="68" spans="1:8" s="3" customFormat="1" ht="28.5" x14ac:dyDescent="0.25">
      <c r="A68" s="146" t="s">
        <v>510</v>
      </c>
      <c r="B68" s="147">
        <v>92515</v>
      </c>
      <c r="C68" s="147" t="s">
        <v>23</v>
      </c>
      <c r="D68" s="143" t="s">
        <v>141</v>
      </c>
      <c r="E68" s="147" t="s">
        <v>100</v>
      </c>
      <c r="F68" s="148">
        <f>0.9*58.5</f>
        <v>52.65</v>
      </c>
      <c r="G68" s="149">
        <v>89.24</v>
      </c>
      <c r="H68" s="150">
        <f t="shared" si="1"/>
        <v>4698.49</v>
      </c>
    </row>
    <row r="69" spans="1:8" s="3" customFormat="1" ht="28.5" x14ac:dyDescent="0.25">
      <c r="A69" s="146" t="s">
        <v>511</v>
      </c>
      <c r="B69" s="147">
        <v>92768</v>
      </c>
      <c r="C69" s="147" t="s">
        <v>23</v>
      </c>
      <c r="D69" s="143" t="s">
        <v>142</v>
      </c>
      <c r="E69" s="147" t="s">
        <v>32</v>
      </c>
      <c r="F69" s="148">
        <f>0.9*458.5</f>
        <v>412.65</v>
      </c>
      <c r="G69" s="149">
        <v>14.21</v>
      </c>
      <c r="H69" s="150">
        <f t="shared" si="1"/>
        <v>5863.76</v>
      </c>
    </row>
    <row r="70" spans="1:8" s="3" customFormat="1" ht="28.5" x14ac:dyDescent="0.25">
      <c r="A70" s="146" t="s">
        <v>512</v>
      </c>
      <c r="B70" s="147">
        <v>92769</v>
      </c>
      <c r="C70" s="147" t="s">
        <v>23</v>
      </c>
      <c r="D70" s="143" t="s">
        <v>143</v>
      </c>
      <c r="E70" s="147" t="s">
        <v>32</v>
      </c>
      <c r="F70" s="148">
        <f>0.9*373.1</f>
        <v>335.79</v>
      </c>
      <c r="G70" s="149">
        <v>12.98</v>
      </c>
      <c r="H70" s="150">
        <f t="shared" si="1"/>
        <v>4358.55</v>
      </c>
    </row>
    <row r="71" spans="1:8" s="3" customFormat="1" ht="28.5" x14ac:dyDescent="0.25">
      <c r="A71" s="146" t="s">
        <v>513</v>
      </c>
      <c r="B71" s="147">
        <v>92770</v>
      </c>
      <c r="C71" s="147" t="s">
        <v>23</v>
      </c>
      <c r="D71" s="143" t="s">
        <v>144</v>
      </c>
      <c r="E71" s="147" t="s">
        <v>32</v>
      </c>
      <c r="F71" s="148">
        <f>0.9*605.6</f>
        <v>545.04</v>
      </c>
      <c r="G71" s="149">
        <v>11.9</v>
      </c>
      <c r="H71" s="150">
        <f t="shared" si="1"/>
        <v>6485.98</v>
      </c>
    </row>
    <row r="72" spans="1:8" s="3" customFormat="1" ht="28.5" x14ac:dyDescent="0.25">
      <c r="A72" s="146" t="s">
        <v>514</v>
      </c>
      <c r="B72" s="147">
        <v>92771</v>
      </c>
      <c r="C72" s="147" t="s">
        <v>23</v>
      </c>
      <c r="D72" s="143" t="s">
        <v>145</v>
      </c>
      <c r="E72" s="147" t="s">
        <v>32</v>
      </c>
      <c r="F72" s="148">
        <f>0.9*73.6</f>
        <v>66.239999999999995</v>
      </c>
      <c r="G72" s="149">
        <v>10.46</v>
      </c>
      <c r="H72" s="150">
        <f t="shared" si="1"/>
        <v>692.87</v>
      </c>
    </row>
    <row r="73" spans="1:8" s="3" customFormat="1" ht="28.5" x14ac:dyDescent="0.25">
      <c r="A73" s="146" t="s">
        <v>515</v>
      </c>
      <c r="B73" s="147">
        <v>92773</v>
      </c>
      <c r="C73" s="147" t="s">
        <v>23</v>
      </c>
      <c r="D73" s="143" t="s">
        <v>146</v>
      </c>
      <c r="E73" s="147" t="s">
        <v>32</v>
      </c>
      <c r="F73" s="148">
        <f>0.9*38.4</f>
        <v>34.56</v>
      </c>
      <c r="G73" s="149">
        <v>8.4700000000000006</v>
      </c>
      <c r="H73" s="150">
        <f t="shared" si="1"/>
        <v>292.72000000000003</v>
      </c>
    </row>
    <row r="74" spans="1:8" s="3" customFormat="1" ht="42.75" x14ac:dyDescent="0.25">
      <c r="A74" s="146" t="s">
        <v>516</v>
      </c>
      <c r="B74" s="147">
        <v>103675</v>
      </c>
      <c r="C74" s="147" t="s">
        <v>23</v>
      </c>
      <c r="D74" s="143" t="s">
        <v>447</v>
      </c>
      <c r="E74" s="147" t="s">
        <v>111</v>
      </c>
      <c r="F74" s="148">
        <f>0.9*49.5</f>
        <v>44.55</v>
      </c>
      <c r="G74" s="149">
        <v>569.92999999999995</v>
      </c>
      <c r="H74" s="150">
        <f t="shared" si="1"/>
        <v>25390.38</v>
      </c>
    </row>
    <row r="75" spans="1:8" s="3" customFormat="1" ht="28.5" x14ac:dyDescent="0.25">
      <c r="A75" s="146" t="s">
        <v>517</v>
      </c>
      <c r="B75" s="147" t="s">
        <v>147</v>
      </c>
      <c r="C75" s="147" t="s">
        <v>95</v>
      </c>
      <c r="D75" s="143" t="s">
        <v>148</v>
      </c>
      <c r="E75" s="147" t="s">
        <v>100</v>
      </c>
      <c r="F75" s="148">
        <f>0.9*43.5</f>
        <v>39.15</v>
      </c>
      <c r="G75" s="149">
        <v>174.39</v>
      </c>
      <c r="H75" s="150">
        <f t="shared" si="1"/>
        <v>6827.37</v>
      </c>
    </row>
    <row r="76" spans="1:8" s="3" customFormat="1" ht="28.5" x14ac:dyDescent="0.25">
      <c r="A76" s="146" t="s">
        <v>518</v>
      </c>
      <c r="B76" s="147" t="s">
        <v>149</v>
      </c>
      <c r="C76" s="147" t="s">
        <v>95</v>
      </c>
      <c r="D76" s="143" t="s">
        <v>150</v>
      </c>
      <c r="E76" s="147" t="s">
        <v>100</v>
      </c>
      <c r="F76" s="148">
        <f>0.9*508.13</f>
        <v>457.32</v>
      </c>
      <c r="G76" s="149">
        <v>196.4</v>
      </c>
      <c r="H76" s="150">
        <f t="shared" si="1"/>
        <v>89817.65</v>
      </c>
    </row>
    <row r="77" spans="1:8" s="3" customFormat="1" ht="28.5" x14ac:dyDescent="0.25">
      <c r="A77" s="146" t="s">
        <v>519</v>
      </c>
      <c r="B77" s="147">
        <v>101792</v>
      </c>
      <c r="C77" s="147" t="s">
        <v>23</v>
      </c>
      <c r="D77" s="143" t="s">
        <v>151</v>
      </c>
      <c r="E77" s="147" t="s">
        <v>111</v>
      </c>
      <c r="F77" s="148">
        <f>0.9*2003.55</f>
        <v>1803.2</v>
      </c>
      <c r="G77" s="149">
        <v>18.3</v>
      </c>
      <c r="H77" s="150">
        <f t="shared" si="1"/>
        <v>32998.559999999998</v>
      </c>
    </row>
    <row r="78" spans="1:8" s="3" customFormat="1" ht="15" x14ac:dyDescent="0.25">
      <c r="A78" s="93"/>
      <c r="B78" s="86"/>
      <c r="C78" s="86"/>
      <c r="D78" s="94" t="s">
        <v>438</v>
      </c>
      <c r="E78" s="95"/>
      <c r="F78" s="96"/>
      <c r="G78" s="95"/>
      <c r="H78" s="97">
        <f>SUM(H50:H77)</f>
        <v>338587.63</v>
      </c>
    </row>
    <row r="79" spans="1:8" s="3" customFormat="1" ht="15" x14ac:dyDescent="0.25">
      <c r="A79" s="89">
        <v>5</v>
      </c>
      <c r="B79" s="91"/>
      <c r="C79" s="91"/>
      <c r="D79" s="90" t="s">
        <v>152</v>
      </c>
      <c r="E79" s="90"/>
      <c r="F79" s="90"/>
      <c r="G79" s="90"/>
      <c r="H79" s="92"/>
    </row>
    <row r="80" spans="1:8" s="3" customFormat="1" ht="15" x14ac:dyDescent="0.25">
      <c r="A80" s="98" t="s">
        <v>520</v>
      </c>
      <c r="B80" s="112"/>
      <c r="C80" s="100"/>
      <c r="D80" s="99" t="s">
        <v>153</v>
      </c>
      <c r="E80" s="101"/>
      <c r="F80" s="100"/>
      <c r="G80" s="101"/>
      <c r="H80" s="102"/>
    </row>
    <row r="81" spans="1:8" s="3" customFormat="1" ht="42.75" x14ac:dyDescent="0.25">
      <c r="A81" s="146" t="s">
        <v>521</v>
      </c>
      <c r="B81" s="147">
        <v>103322</v>
      </c>
      <c r="C81" s="147" t="s">
        <v>23</v>
      </c>
      <c r="D81" s="143" t="s">
        <v>154</v>
      </c>
      <c r="E81" s="147" t="s">
        <v>100</v>
      </c>
      <c r="F81" s="148">
        <v>5.63</v>
      </c>
      <c r="G81" s="149">
        <v>62.12</v>
      </c>
      <c r="H81" s="150">
        <f t="shared" ref="H81:H130" si="2">G81*F81</f>
        <v>349.74</v>
      </c>
    </row>
    <row r="82" spans="1:8" s="3" customFormat="1" ht="42.75" x14ac:dyDescent="0.25">
      <c r="A82" s="146" t="s">
        <v>522</v>
      </c>
      <c r="B82" s="147">
        <v>103324</v>
      </c>
      <c r="C82" s="147" t="s">
        <v>23</v>
      </c>
      <c r="D82" s="143" t="s">
        <v>155</v>
      </c>
      <c r="E82" s="147" t="s">
        <v>100</v>
      </c>
      <c r="F82" s="148">
        <v>1104.49</v>
      </c>
      <c r="G82" s="149">
        <v>83.86</v>
      </c>
      <c r="H82" s="150">
        <f t="shared" si="2"/>
        <v>92622.53</v>
      </c>
    </row>
    <row r="83" spans="1:8" s="3" customFormat="1" ht="28.5" x14ac:dyDescent="0.25">
      <c r="A83" s="146" t="s">
        <v>523</v>
      </c>
      <c r="B83" s="147">
        <v>93191</v>
      </c>
      <c r="C83" s="147" t="s">
        <v>23</v>
      </c>
      <c r="D83" s="143" t="s">
        <v>156</v>
      </c>
      <c r="E83" s="147" t="s">
        <v>24</v>
      </c>
      <c r="F83" s="148">
        <v>176.1</v>
      </c>
      <c r="G83" s="149">
        <v>79.89</v>
      </c>
      <c r="H83" s="150">
        <f t="shared" si="2"/>
        <v>14068.63</v>
      </c>
    </row>
    <row r="84" spans="1:8" s="3" customFormat="1" ht="28.5" x14ac:dyDescent="0.25">
      <c r="A84" s="146" t="s">
        <v>524</v>
      </c>
      <c r="B84" s="147">
        <v>93199</v>
      </c>
      <c r="C84" s="147" t="s">
        <v>23</v>
      </c>
      <c r="D84" s="143" t="s">
        <v>157</v>
      </c>
      <c r="E84" s="147" t="s">
        <v>24</v>
      </c>
      <c r="F84" s="148">
        <v>121.1</v>
      </c>
      <c r="G84" s="149">
        <v>48.73</v>
      </c>
      <c r="H84" s="150">
        <f t="shared" si="2"/>
        <v>5901.2</v>
      </c>
    </row>
    <row r="85" spans="1:8" s="3" customFormat="1" ht="28.5" x14ac:dyDescent="0.25">
      <c r="A85" s="146" t="s">
        <v>525</v>
      </c>
      <c r="B85" s="147">
        <v>93202</v>
      </c>
      <c r="C85" s="147" t="s">
        <v>23</v>
      </c>
      <c r="D85" s="143" t="s">
        <v>158</v>
      </c>
      <c r="E85" s="147" t="s">
        <v>24</v>
      </c>
      <c r="F85" s="148">
        <v>528.57000000000005</v>
      </c>
      <c r="G85" s="149">
        <v>30.84</v>
      </c>
      <c r="H85" s="150">
        <f t="shared" si="2"/>
        <v>16301.1</v>
      </c>
    </row>
    <row r="86" spans="1:8" s="3" customFormat="1" ht="42.75" x14ac:dyDescent="0.25">
      <c r="A86" s="146" t="s">
        <v>526</v>
      </c>
      <c r="B86" s="147">
        <v>101163</v>
      </c>
      <c r="C86" s="147" t="s">
        <v>23</v>
      </c>
      <c r="D86" s="143" t="s">
        <v>159</v>
      </c>
      <c r="E86" s="147" t="s">
        <v>22</v>
      </c>
      <c r="F86" s="148">
        <v>12.5</v>
      </c>
      <c r="G86" s="149">
        <v>710.16</v>
      </c>
      <c r="H86" s="150">
        <f t="shared" si="2"/>
        <v>8877</v>
      </c>
    </row>
    <row r="87" spans="1:8" s="3" customFormat="1" ht="15" x14ac:dyDescent="0.25">
      <c r="A87" s="98" t="s">
        <v>527</v>
      </c>
      <c r="B87" s="112"/>
      <c r="C87" s="100"/>
      <c r="D87" s="99" t="s">
        <v>160</v>
      </c>
      <c r="E87" s="101"/>
      <c r="F87" s="100"/>
      <c r="G87" s="101"/>
      <c r="H87" s="102"/>
    </row>
    <row r="88" spans="1:8" s="3" customFormat="1" ht="42.75" x14ac:dyDescent="0.25">
      <c r="A88" s="146" t="s">
        <v>528</v>
      </c>
      <c r="B88" s="147">
        <v>96367</v>
      </c>
      <c r="C88" s="147" t="s">
        <v>23</v>
      </c>
      <c r="D88" s="143" t="s">
        <v>161</v>
      </c>
      <c r="E88" s="147" t="s">
        <v>100</v>
      </c>
      <c r="F88" s="148">
        <v>210.3</v>
      </c>
      <c r="G88" s="149">
        <v>152.93</v>
      </c>
      <c r="H88" s="150">
        <f t="shared" si="2"/>
        <v>32161.18</v>
      </c>
    </row>
    <row r="89" spans="1:8" s="3" customFormat="1" ht="14.25" x14ac:dyDescent="0.25">
      <c r="A89" s="146" t="s">
        <v>529</v>
      </c>
      <c r="B89" s="147">
        <v>96374</v>
      </c>
      <c r="C89" s="147" t="s">
        <v>23</v>
      </c>
      <c r="D89" s="143" t="s">
        <v>162</v>
      </c>
      <c r="E89" s="147" t="s">
        <v>24</v>
      </c>
      <c r="F89" s="148">
        <v>174.07</v>
      </c>
      <c r="G89" s="149">
        <v>33.47</v>
      </c>
      <c r="H89" s="150">
        <f t="shared" si="2"/>
        <v>5826.12</v>
      </c>
    </row>
    <row r="90" spans="1:8" s="3" customFormat="1" ht="15" x14ac:dyDescent="0.25">
      <c r="A90" s="98" t="s">
        <v>530</v>
      </c>
      <c r="B90" s="112"/>
      <c r="C90" s="100"/>
      <c r="D90" s="99" t="s">
        <v>163</v>
      </c>
      <c r="E90" s="101"/>
      <c r="F90" s="100"/>
      <c r="G90" s="101"/>
      <c r="H90" s="102"/>
    </row>
    <row r="91" spans="1:8" s="3" customFormat="1" ht="42.75" x14ac:dyDescent="0.25">
      <c r="A91" s="146" t="s">
        <v>531</v>
      </c>
      <c r="B91" s="147">
        <v>102257</v>
      </c>
      <c r="C91" s="147" t="s">
        <v>23</v>
      </c>
      <c r="D91" s="143" t="s">
        <v>164</v>
      </c>
      <c r="E91" s="147" t="s">
        <v>100</v>
      </c>
      <c r="F91" s="148">
        <v>26.14</v>
      </c>
      <c r="G91" s="149">
        <v>347.44</v>
      </c>
      <c r="H91" s="150">
        <f t="shared" si="2"/>
        <v>9082.08</v>
      </c>
    </row>
    <row r="92" spans="1:8" s="3" customFormat="1" ht="15" x14ac:dyDescent="0.25">
      <c r="A92" s="93"/>
      <c r="B92" s="86"/>
      <c r="C92" s="86"/>
      <c r="D92" s="94" t="s">
        <v>438</v>
      </c>
      <c r="E92" s="95"/>
      <c r="F92" s="96"/>
      <c r="G92" s="95"/>
      <c r="H92" s="97">
        <f>SUM(H80:H91)</f>
        <v>185189.58</v>
      </c>
    </row>
    <row r="93" spans="1:8" s="3" customFormat="1" ht="15" x14ac:dyDescent="0.25">
      <c r="A93" s="89">
        <v>6</v>
      </c>
      <c r="B93" s="91"/>
      <c r="C93" s="91"/>
      <c r="D93" s="90" t="s">
        <v>19</v>
      </c>
      <c r="E93" s="90"/>
      <c r="F93" s="90"/>
      <c r="G93" s="90"/>
      <c r="H93" s="92"/>
    </row>
    <row r="94" spans="1:8" s="3" customFormat="1" ht="15" x14ac:dyDescent="0.25">
      <c r="A94" s="98" t="s">
        <v>532</v>
      </c>
      <c r="B94" s="112"/>
      <c r="C94" s="100"/>
      <c r="D94" s="99" t="s">
        <v>1</v>
      </c>
      <c r="E94" s="101"/>
      <c r="F94" s="100"/>
      <c r="G94" s="101"/>
      <c r="H94" s="102"/>
    </row>
    <row r="95" spans="1:8" s="3" customFormat="1" ht="57" x14ac:dyDescent="0.25">
      <c r="A95" s="146" t="s">
        <v>533</v>
      </c>
      <c r="B95" s="147">
        <v>100776</v>
      </c>
      <c r="C95" s="147" t="s">
        <v>23</v>
      </c>
      <c r="D95" s="143" t="s">
        <v>165</v>
      </c>
      <c r="E95" s="147" t="s">
        <v>32</v>
      </c>
      <c r="F95" s="148">
        <v>910.26</v>
      </c>
      <c r="G95" s="149">
        <v>19.68</v>
      </c>
      <c r="H95" s="150">
        <f t="shared" si="2"/>
        <v>17913.919999999998</v>
      </c>
    </row>
    <row r="96" spans="1:8" s="3" customFormat="1" ht="57" x14ac:dyDescent="0.25">
      <c r="A96" s="146" t="s">
        <v>534</v>
      </c>
      <c r="B96" s="147">
        <v>100383</v>
      </c>
      <c r="C96" s="147" t="s">
        <v>23</v>
      </c>
      <c r="D96" s="143" t="s">
        <v>166</v>
      </c>
      <c r="E96" s="147" t="s">
        <v>100</v>
      </c>
      <c r="F96" s="148">
        <v>613.75</v>
      </c>
      <c r="G96" s="149">
        <v>28.5</v>
      </c>
      <c r="H96" s="150">
        <f t="shared" si="2"/>
        <v>17491.88</v>
      </c>
    </row>
    <row r="97" spans="1:8" s="3" customFormat="1" ht="42.75" x14ac:dyDescent="0.25">
      <c r="A97" s="146" t="s">
        <v>535</v>
      </c>
      <c r="B97" s="147">
        <v>92543</v>
      </c>
      <c r="C97" s="147" t="s">
        <v>23</v>
      </c>
      <c r="D97" s="143" t="s">
        <v>167</v>
      </c>
      <c r="E97" s="147" t="s">
        <v>100</v>
      </c>
      <c r="F97" s="148">
        <v>613.75</v>
      </c>
      <c r="G97" s="149">
        <v>26.74</v>
      </c>
      <c r="H97" s="150">
        <f t="shared" si="2"/>
        <v>16411.68</v>
      </c>
    </row>
    <row r="98" spans="1:8" s="3" customFormat="1" ht="15" x14ac:dyDescent="0.25">
      <c r="A98" s="98" t="s">
        <v>536</v>
      </c>
      <c r="B98" s="112"/>
      <c r="C98" s="100"/>
      <c r="D98" s="99" t="s">
        <v>168</v>
      </c>
      <c r="E98" s="101"/>
      <c r="F98" s="100"/>
      <c r="G98" s="101"/>
      <c r="H98" s="102"/>
    </row>
    <row r="99" spans="1:8" s="3" customFormat="1" ht="42.75" x14ac:dyDescent="0.25">
      <c r="A99" s="146" t="s">
        <v>537</v>
      </c>
      <c r="B99" s="147">
        <v>94207</v>
      </c>
      <c r="C99" s="147" t="s">
        <v>23</v>
      </c>
      <c r="D99" s="143" t="s">
        <v>169</v>
      </c>
      <c r="E99" s="147" t="s">
        <v>100</v>
      </c>
      <c r="F99" s="148">
        <v>703.35</v>
      </c>
      <c r="G99" s="149">
        <v>46.13</v>
      </c>
      <c r="H99" s="150">
        <f t="shared" si="2"/>
        <v>32445.54</v>
      </c>
    </row>
    <row r="100" spans="1:8" s="3" customFormat="1" ht="14.25" x14ac:dyDescent="0.25">
      <c r="A100" s="146" t="s">
        <v>538</v>
      </c>
      <c r="B100" s="147" t="s">
        <v>465</v>
      </c>
      <c r="C100" s="147" t="s">
        <v>95</v>
      </c>
      <c r="D100" s="143" t="s">
        <v>464</v>
      </c>
      <c r="E100" s="147" t="s">
        <v>100</v>
      </c>
      <c r="F100" s="148">
        <v>22</v>
      </c>
      <c r="G100" s="149">
        <v>235.13</v>
      </c>
      <c r="H100" s="150">
        <f t="shared" si="2"/>
        <v>5172.8599999999997</v>
      </c>
    </row>
    <row r="101" spans="1:8" s="3" customFormat="1" ht="15" x14ac:dyDescent="0.25">
      <c r="A101" s="98" t="s">
        <v>539</v>
      </c>
      <c r="B101" s="112"/>
      <c r="C101" s="100"/>
      <c r="D101" s="99" t="s">
        <v>170</v>
      </c>
      <c r="E101" s="101"/>
      <c r="F101" s="100"/>
      <c r="G101" s="101"/>
      <c r="H101" s="102"/>
    </row>
    <row r="102" spans="1:8" s="3" customFormat="1" ht="28.5" x14ac:dyDescent="0.25">
      <c r="A102" s="146" t="s">
        <v>540</v>
      </c>
      <c r="B102" s="147">
        <v>94229</v>
      </c>
      <c r="C102" s="147" t="s">
        <v>23</v>
      </c>
      <c r="D102" s="143" t="s">
        <v>171</v>
      </c>
      <c r="E102" s="147" t="s">
        <v>24</v>
      </c>
      <c r="F102" s="148">
        <v>105.37</v>
      </c>
      <c r="G102" s="149">
        <v>176.13</v>
      </c>
      <c r="H102" s="150">
        <f t="shared" si="2"/>
        <v>18558.82</v>
      </c>
    </row>
    <row r="103" spans="1:8" s="3" customFormat="1" ht="28.5" x14ac:dyDescent="0.25">
      <c r="A103" s="146" t="s">
        <v>541</v>
      </c>
      <c r="B103" s="147">
        <v>94231</v>
      </c>
      <c r="C103" s="147" t="s">
        <v>23</v>
      </c>
      <c r="D103" s="143" t="s">
        <v>28</v>
      </c>
      <c r="E103" s="147" t="s">
        <v>24</v>
      </c>
      <c r="F103" s="148">
        <v>106.11</v>
      </c>
      <c r="G103" s="149">
        <v>53.68</v>
      </c>
      <c r="H103" s="150">
        <f t="shared" si="2"/>
        <v>5695.98</v>
      </c>
    </row>
    <row r="104" spans="1:8" s="3" customFormat="1" ht="28.5" x14ac:dyDescent="0.25">
      <c r="A104" s="146" t="s">
        <v>542</v>
      </c>
      <c r="B104" s="147">
        <v>94451</v>
      </c>
      <c r="C104" s="147" t="s">
        <v>23</v>
      </c>
      <c r="D104" s="143" t="s">
        <v>172</v>
      </c>
      <c r="E104" s="147" t="s">
        <v>24</v>
      </c>
      <c r="F104" s="148">
        <v>34.06</v>
      </c>
      <c r="G104" s="149">
        <v>85.64</v>
      </c>
      <c r="H104" s="150">
        <f t="shared" si="2"/>
        <v>2916.9</v>
      </c>
    </row>
    <row r="105" spans="1:8" s="3" customFormat="1" ht="15" x14ac:dyDescent="0.25">
      <c r="A105" s="93"/>
      <c r="B105" s="86"/>
      <c r="C105" s="86"/>
      <c r="D105" s="94" t="s">
        <v>438</v>
      </c>
      <c r="E105" s="95"/>
      <c r="F105" s="96"/>
      <c r="G105" s="95"/>
      <c r="H105" s="97">
        <f>SUM(H94:H104)</f>
        <v>116607.58</v>
      </c>
    </row>
    <row r="106" spans="1:8" s="3" customFormat="1" ht="15" x14ac:dyDescent="0.25">
      <c r="A106" s="89">
        <v>7</v>
      </c>
      <c r="B106" s="91"/>
      <c r="C106" s="91"/>
      <c r="D106" s="90" t="s">
        <v>2</v>
      </c>
      <c r="E106" s="90"/>
      <c r="F106" s="90"/>
      <c r="G106" s="90"/>
      <c r="H106" s="92"/>
    </row>
    <row r="107" spans="1:8" s="3" customFormat="1" ht="42.75" x14ac:dyDescent="0.25">
      <c r="A107" s="146" t="s">
        <v>543</v>
      </c>
      <c r="B107" s="147">
        <v>98556</v>
      </c>
      <c r="C107" s="147" t="s">
        <v>23</v>
      </c>
      <c r="D107" s="143" t="s">
        <v>173</v>
      </c>
      <c r="E107" s="147" t="s">
        <v>100</v>
      </c>
      <c r="F107" s="148">
        <v>185.45</v>
      </c>
      <c r="G107" s="149">
        <v>65.2</v>
      </c>
      <c r="H107" s="150">
        <f t="shared" si="2"/>
        <v>12091.34</v>
      </c>
    </row>
    <row r="108" spans="1:8" s="3" customFormat="1" ht="28.5" x14ac:dyDescent="0.25">
      <c r="A108" s="146" t="s">
        <v>544</v>
      </c>
      <c r="B108" s="147">
        <v>98555</v>
      </c>
      <c r="C108" s="147" t="s">
        <v>23</v>
      </c>
      <c r="D108" s="143" t="s">
        <v>34</v>
      </c>
      <c r="E108" s="147" t="s">
        <v>100</v>
      </c>
      <c r="F108" s="148">
        <v>528.57000000000005</v>
      </c>
      <c r="G108" s="149">
        <v>35.770000000000003</v>
      </c>
      <c r="H108" s="150">
        <f t="shared" si="2"/>
        <v>18906.95</v>
      </c>
    </row>
    <row r="109" spans="1:8" s="3" customFormat="1" ht="28.5" x14ac:dyDescent="0.25">
      <c r="A109" s="146" t="s">
        <v>545</v>
      </c>
      <c r="B109" s="147">
        <v>98565</v>
      </c>
      <c r="C109" s="147" t="s">
        <v>23</v>
      </c>
      <c r="D109" s="143" t="s">
        <v>174</v>
      </c>
      <c r="E109" s="147" t="s">
        <v>100</v>
      </c>
      <c r="F109" s="148">
        <v>57.23</v>
      </c>
      <c r="G109" s="149">
        <v>57.32</v>
      </c>
      <c r="H109" s="150">
        <f t="shared" si="2"/>
        <v>3280.42</v>
      </c>
    </row>
    <row r="110" spans="1:8" s="3" customFormat="1" ht="15" x14ac:dyDescent="0.25">
      <c r="A110" s="93"/>
      <c r="B110" s="86"/>
      <c r="C110" s="86"/>
      <c r="D110" s="94" t="s">
        <v>438</v>
      </c>
      <c r="E110" s="95"/>
      <c r="F110" s="96"/>
      <c r="G110" s="95"/>
      <c r="H110" s="97">
        <f>SUM(H107:H109)</f>
        <v>34278.71</v>
      </c>
    </row>
    <row r="111" spans="1:8" s="3" customFormat="1" ht="15" x14ac:dyDescent="0.25">
      <c r="A111" s="89">
        <v>8</v>
      </c>
      <c r="B111" s="91"/>
      <c r="C111" s="91"/>
      <c r="D111" s="90" t="s">
        <v>6</v>
      </c>
      <c r="E111" s="90"/>
      <c r="F111" s="90"/>
      <c r="G111" s="90"/>
      <c r="H111" s="92"/>
    </row>
    <row r="112" spans="1:8" s="3" customFormat="1" ht="15" x14ac:dyDescent="0.25">
      <c r="A112" s="98" t="s">
        <v>546</v>
      </c>
      <c r="B112" s="112"/>
      <c r="C112" s="100"/>
      <c r="D112" s="99" t="s">
        <v>175</v>
      </c>
      <c r="E112" s="101"/>
      <c r="F112" s="100"/>
      <c r="G112" s="101"/>
      <c r="H112" s="102"/>
    </row>
    <row r="113" spans="1:8" s="3" customFormat="1" ht="57" x14ac:dyDescent="0.25">
      <c r="A113" s="146" t="s">
        <v>547</v>
      </c>
      <c r="B113" s="147">
        <v>90844</v>
      </c>
      <c r="C113" s="147" t="s">
        <v>23</v>
      </c>
      <c r="D113" s="143" t="s">
        <v>176</v>
      </c>
      <c r="E113" s="147" t="s">
        <v>27</v>
      </c>
      <c r="F113" s="148">
        <v>23</v>
      </c>
      <c r="G113" s="149">
        <v>1398.37</v>
      </c>
      <c r="H113" s="150">
        <f t="shared" si="2"/>
        <v>32162.51</v>
      </c>
    </row>
    <row r="114" spans="1:8" s="3" customFormat="1" ht="57" x14ac:dyDescent="0.25">
      <c r="A114" s="146" t="s">
        <v>548</v>
      </c>
      <c r="B114" s="147">
        <v>90843</v>
      </c>
      <c r="C114" s="147" t="s">
        <v>23</v>
      </c>
      <c r="D114" s="143" t="s">
        <v>177</v>
      </c>
      <c r="E114" s="147" t="s">
        <v>27</v>
      </c>
      <c r="F114" s="148">
        <v>14</v>
      </c>
      <c r="G114" s="149">
        <v>1307.3399999999999</v>
      </c>
      <c r="H114" s="150">
        <f t="shared" si="2"/>
        <v>18302.759999999998</v>
      </c>
    </row>
    <row r="115" spans="1:8" s="3" customFormat="1" ht="14.25" x14ac:dyDescent="0.25">
      <c r="A115" s="146" t="s">
        <v>549</v>
      </c>
      <c r="B115" s="147" t="s">
        <v>178</v>
      </c>
      <c r="C115" s="147" t="s">
        <v>95</v>
      </c>
      <c r="D115" s="143" t="s">
        <v>179</v>
      </c>
      <c r="E115" s="147" t="s">
        <v>100</v>
      </c>
      <c r="F115" s="148">
        <v>105</v>
      </c>
      <c r="G115" s="149">
        <v>605.89</v>
      </c>
      <c r="H115" s="150">
        <f t="shared" si="2"/>
        <v>63618.45</v>
      </c>
    </row>
    <row r="116" spans="1:8" s="3" customFormat="1" ht="15" x14ac:dyDescent="0.25">
      <c r="A116" s="98" t="s">
        <v>550</v>
      </c>
      <c r="B116" s="112"/>
      <c r="C116" s="100"/>
      <c r="D116" s="99" t="s">
        <v>180</v>
      </c>
      <c r="E116" s="101"/>
      <c r="F116" s="100"/>
      <c r="G116" s="101"/>
      <c r="H116" s="102"/>
    </row>
    <row r="117" spans="1:8" s="3" customFormat="1" ht="28.5" x14ac:dyDescent="0.25">
      <c r="A117" s="146" t="s">
        <v>551</v>
      </c>
      <c r="B117" s="147">
        <v>91338</v>
      </c>
      <c r="C117" s="147" t="s">
        <v>23</v>
      </c>
      <c r="D117" s="143" t="s">
        <v>181</v>
      </c>
      <c r="E117" s="147" t="s">
        <v>100</v>
      </c>
      <c r="F117" s="148">
        <v>7.56</v>
      </c>
      <c r="G117" s="149">
        <v>857.13</v>
      </c>
      <c r="H117" s="150">
        <f t="shared" si="2"/>
        <v>6479.9</v>
      </c>
    </row>
    <row r="118" spans="1:8" s="3" customFormat="1" ht="14.25" x14ac:dyDescent="0.25">
      <c r="A118" s="146" t="s">
        <v>552</v>
      </c>
      <c r="B118" s="147" t="s">
        <v>182</v>
      </c>
      <c r="C118" s="147" t="s">
        <v>95</v>
      </c>
      <c r="D118" s="143" t="s">
        <v>183</v>
      </c>
      <c r="E118" s="147" t="s">
        <v>100</v>
      </c>
      <c r="F118" s="148">
        <v>17.73</v>
      </c>
      <c r="G118" s="149">
        <v>1097.54</v>
      </c>
      <c r="H118" s="150">
        <f t="shared" si="2"/>
        <v>19459.38</v>
      </c>
    </row>
    <row r="119" spans="1:8" s="3" customFormat="1" ht="14.25" x14ac:dyDescent="0.25">
      <c r="A119" s="146" t="s">
        <v>842</v>
      </c>
      <c r="B119" s="147" t="s">
        <v>184</v>
      </c>
      <c r="C119" s="147" t="s">
        <v>95</v>
      </c>
      <c r="D119" s="143" t="s">
        <v>185</v>
      </c>
      <c r="E119" s="147" t="s">
        <v>100</v>
      </c>
      <c r="F119" s="148">
        <v>13.74</v>
      </c>
      <c r="G119" s="149">
        <v>1036.18</v>
      </c>
      <c r="H119" s="150">
        <f t="shared" si="2"/>
        <v>14237.11</v>
      </c>
    </row>
    <row r="120" spans="1:8" s="3" customFormat="1" ht="14.25" x14ac:dyDescent="0.25">
      <c r="A120" s="146" t="s">
        <v>553</v>
      </c>
      <c r="B120" s="147" t="s">
        <v>186</v>
      </c>
      <c r="C120" s="147" t="s">
        <v>95</v>
      </c>
      <c r="D120" s="143" t="s">
        <v>187</v>
      </c>
      <c r="E120" s="147" t="s">
        <v>100</v>
      </c>
      <c r="F120" s="148">
        <v>2.52</v>
      </c>
      <c r="G120" s="149">
        <v>1037.3900000000001</v>
      </c>
      <c r="H120" s="150">
        <f t="shared" si="2"/>
        <v>2614.2199999999998</v>
      </c>
    </row>
    <row r="121" spans="1:8" s="3" customFormat="1" ht="42.75" x14ac:dyDescent="0.25">
      <c r="A121" s="146" t="s">
        <v>554</v>
      </c>
      <c r="B121" s="147">
        <v>94569</v>
      </c>
      <c r="C121" s="147" t="s">
        <v>23</v>
      </c>
      <c r="D121" s="143" t="s">
        <v>188</v>
      </c>
      <c r="E121" s="147" t="s">
        <v>100</v>
      </c>
      <c r="F121" s="148">
        <v>50</v>
      </c>
      <c r="G121" s="149">
        <v>692.16</v>
      </c>
      <c r="H121" s="150">
        <f t="shared" si="2"/>
        <v>34608</v>
      </c>
    </row>
    <row r="122" spans="1:8" s="3" customFormat="1" ht="42.75" x14ac:dyDescent="0.25">
      <c r="A122" s="146" t="s">
        <v>843</v>
      </c>
      <c r="B122" s="147">
        <v>94573</v>
      </c>
      <c r="C122" s="147" t="s">
        <v>23</v>
      </c>
      <c r="D122" s="143" t="s">
        <v>189</v>
      </c>
      <c r="E122" s="147" t="s">
        <v>100</v>
      </c>
      <c r="F122" s="148">
        <v>40</v>
      </c>
      <c r="G122" s="149">
        <v>405.9</v>
      </c>
      <c r="H122" s="150">
        <f t="shared" si="2"/>
        <v>16236</v>
      </c>
    </row>
    <row r="123" spans="1:8" s="3" customFormat="1" ht="42.75" x14ac:dyDescent="0.25">
      <c r="A123" s="146" t="s">
        <v>555</v>
      </c>
      <c r="B123" s="147">
        <v>94570</v>
      </c>
      <c r="C123" s="147" t="s">
        <v>23</v>
      </c>
      <c r="D123" s="143" t="s">
        <v>190</v>
      </c>
      <c r="E123" s="147" t="s">
        <v>100</v>
      </c>
      <c r="F123" s="148">
        <v>6.84</v>
      </c>
      <c r="G123" s="149">
        <v>364.48</v>
      </c>
      <c r="H123" s="150">
        <f t="shared" si="2"/>
        <v>2493.04</v>
      </c>
    </row>
    <row r="124" spans="1:8" s="3" customFormat="1" ht="15" x14ac:dyDescent="0.25">
      <c r="A124" s="98" t="s">
        <v>556</v>
      </c>
      <c r="B124" s="112"/>
      <c r="C124" s="100"/>
      <c r="D124" s="99" t="s">
        <v>191</v>
      </c>
      <c r="E124" s="101"/>
      <c r="F124" s="100"/>
      <c r="G124" s="101"/>
      <c r="H124" s="102"/>
    </row>
    <row r="125" spans="1:8" s="3" customFormat="1" ht="28.5" x14ac:dyDescent="0.25">
      <c r="A125" s="146" t="s">
        <v>557</v>
      </c>
      <c r="B125" s="147" t="s">
        <v>192</v>
      </c>
      <c r="C125" s="147" t="s">
        <v>95</v>
      </c>
      <c r="D125" s="143" t="s">
        <v>193</v>
      </c>
      <c r="E125" s="147" t="s">
        <v>100</v>
      </c>
      <c r="F125" s="148">
        <v>3.15</v>
      </c>
      <c r="G125" s="149">
        <v>969.67</v>
      </c>
      <c r="H125" s="150">
        <f t="shared" si="2"/>
        <v>3054.46</v>
      </c>
    </row>
    <row r="126" spans="1:8" s="3" customFormat="1" ht="15" x14ac:dyDescent="0.25">
      <c r="A126" s="98" t="s">
        <v>558</v>
      </c>
      <c r="B126" s="112"/>
      <c r="C126" s="100"/>
      <c r="D126" s="99" t="s">
        <v>80</v>
      </c>
      <c r="E126" s="101"/>
      <c r="F126" s="100"/>
      <c r="G126" s="101"/>
      <c r="H126" s="102"/>
    </row>
    <row r="127" spans="1:8" s="3" customFormat="1" ht="28.5" x14ac:dyDescent="0.25">
      <c r="A127" s="146" t="s">
        <v>559</v>
      </c>
      <c r="B127" s="147" t="s">
        <v>194</v>
      </c>
      <c r="C127" s="147" t="s">
        <v>95</v>
      </c>
      <c r="D127" s="143" t="s">
        <v>195</v>
      </c>
      <c r="E127" s="147" t="s">
        <v>196</v>
      </c>
      <c r="F127" s="148">
        <v>9</v>
      </c>
      <c r="G127" s="149">
        <v>461.77</v>
      </c>
      <c r="H127" s="150">
        <f t="shared" si="2"/>
        <v>4155.93</v>
      </c>
    </row>
    <row r="128" spans="1:8" s="3" customFormat="1" ht="28.5" x14ac:dyDescent="0.25">
      <c r="A128" s="146" t="s">
        <v>560</v>
      </c>
      <c r="B128" s="147" t="s">
        <v>197</v>
      </c>
      <c r="C128" s="147" t="s">
        <v>95</v>
      </c>
      <c r="D128" s="143" t="s">
        <v>198</v>
      </c>
      <c r="E128" s="147" t="s">
        <v>196</v>
      </c>
      <c r="F128" s="148">
        <v>3</v>
      </c>
      <c r="G128" s="149">
        <v>130.38999999999999</v>
      </c>
      <c r="H128" s="150">
        <f t="shared" si="2"/>
        <v>391.17</v>
      </c>
    </row>
    <row r="129" spans="1:8" s="3" customFormat="1" ht="28.5" x14ac:dyDescent="0.25">
      <c r="A129" s="146" t="s">
        <v>561</v>
      </c>
      <c r="B129" s="147" t="s">
        <v>199</v>
      </c>
      <c r="C129" s="147" t="s">
        <v>95</v>
      </c>
      <c r="D129" s="143" t="s">
        <v>200</v>
      </c>
      <c r="E129" s="147" t="s">
        <v>196</v>
      </c>
      <c r="F129" s="148">
        <v>31</v>
      </c>
      <c r="G129" s="149">
        <v>310.31</v>
      </c>
      <c r="H129" s="150">
        <f t="shared" si="2"/>
        <v>9619.61</v>
      </c>
    </row>
    <row r="130" spans="1:8" s="3" customFormat="1" ht="28.5" x14ac:dyDescent="0.25">
      <c r="A130" s="146" t="s">
        <v>562</v>
      </c>
      <c r="B130" s="147">
        <v>100709</v>
      </c>
      <c r="C130" s="147" t="s">
        <v>23</v>
      </c>
      <c r="D130" s="143" t="s">
        <v>201</v>
      </c>
      <c r="E130" s="147" t="s">
        <v>27</v>
      </c>
      <c r="F130" s="148">
        <v>30</v>
      </c>
      <c r="G130" s="149">
        <v>64.819999999999993</v>
      </c>
      <c r="H130" s="150">
        <f t="shared" si="2"/>
        <v>1944.6</v>
      </c>
    </row>
    <row r="131" spans="1:8" s="3" customFormat="1" ht="15" x14ac:dyDescent="0.25">
      <c r="A131" s="93"/>
      <c r="B131" s="86"/>
      <c r="C131" s="86"/>
      <c r="D131" s="94" t="s">
        <v>438</v>
      </c>
      <c r="E131" s="95"/>
      <c r="F131" s="96"/>
      <c r="G131" s="95"/>
      <c r="H131" s="97">
        <f>SUM(H113:H130)</f>
        <v>229377.14</v>
      </c>
    </row>
    <row r="132" spans="1:8" s="3" customFormat="1" ht="15" x14ac:dyDescent="0.25">
      <c r="A132" s="89">
        <v>9</v>
      </c>
      <c r="B132" s="91"/>
      <c r="C132" s="91"/>
      <c r="D132" s="90" t="s">
        <v>677</v>
      </c>
      <c r="E132" s="90"/>
      <c r="F132" s="90"/>
      <c r="G132" s="90"/>
      <c r="H132" s="92"/>
    </row>
    <row r="133" spans="1:8" s="3" customFormat="1" ht="15" x14ac:dyDescent="0.25">
      <c r="A133" s="98" t="s">
        <v>563</v>
      </c>
      <c r="B133" s="112"/>
      <c r="C133" s="100"/>
      <c r="D133" s="99" t="s">
        <v>678</v>
      </c>
      <c r="E133" s="101"/>
      <c r="F133" s="100"/>
      <c r="G133" s="101"/>
      <c r="H133" s="102"/>
    </row>
    <row r="134" spans="1:8" s="3" customFormat="1" ht="42.75" x14ac:dyDescent="0.25">
      <c r="A134" s="146" t="s">
        <v>564</v>
      </c>
      <c r="B134" s="147">
        <v>87905</v>
      </c>
      <c r="C134" s="147" t="s">
        <v>23</v>
      </c>
      <c r="D134" s="143" t="s">
        <v>202</v>
      </c>
      <c r="E134" s="147" t="s">
        <v>100</v>
      </c>
      <c r="F134" s="148">
        <v>2220.2399999999998</v>
      </c>
      <c r="G134" s="149">
        <v>9.16</v>
      </c>
      <c r="H134" s="150">
        <f t="shared" ref="H134:H189" si="3">G134*F134</f>
        <v>20337.400000000001</v>
      </c>
    </row>
    <row r="135" spans="1:8" s="3" customFormat="1" ht="42.75" x14ac:dyDescent="0.25">
      <c r="A135" s="146" t="s">
        <v>565</v>
      </c>
      <c r="B135" s="147">
        <v>104958</v>
      </c>
      <c r="C135" s="147" t="s">
        <v>23</v>
      </c>
      <c r="D135" s="143" t="s">
        <v>203</v>
      </c>
      <c r="E135" s="147" t="s">
        <v>100</v>
      </c>
      <c r="F135" s="148">
        <v>2113.29</v>
      </c>
      <c r="G135" s="149">
        <v>24.11</v>
      </c>
      <c r="H135" s="150">
        <f t="shared" si="3"/>
        <v>50951.42</v>
      </c>
    </row>
    <row r="136" spans="1:8" s="3" customFormat="1" ht="42.75" x14ac:dyDescent="0.25">
      <c r="A136" s="146" t="s">
        <v>566</v>
      </c>
      <c r="B136" s="147">
        <v>87553</v>
      </c>
      <c r="C136" s="147" t="s">
        <v>23</v>
      </c>
      <c r="D136" s="143" t="s">
        <v>204</v>
      </c>
      <c r="E136" s="147" t="s">
        <v>100</v>
      </c>
      <c r="F136" s="148">
        <v>106.95</v>
      </c>
      <c r="G136" s="149">
        <v>23.31</v>
      </c>
      <c r="H136" s="150">
        <f t="shared" si="3"/>
        <v>2493</v>
      </c>
    </row>
    <row r="137" spans="1:8" s="3" customFormat="1" ht="15" x14ac:dyDescent="0.25">
      <c r="A137" s="98" t="s">
        <v>567</v>
      </c>
      <c r="B137" s="112"/>
      <c r="C137" s="100"/>
      <c r="D137" s="99" t="s">
        <v>679</v>
      </c>
      <c r="E137" s="101"/>
      <c r="F137" s="100"/>
      <c r="G137" s="101"/>
      <c r="H137" s="102"/>
    </row>
    <row r="138" spans="1:8" s="3" customFormat="1" ht="28.5" x14ac:dyDescent="0.25">
      <c r="A138" s="146" t="s">
        <v>568</v>
      </c>
      <c r="B138" s="147" t="s">
        <v>35</v>
      </c>
      <c r="C138" s="147" t="s">
        <v>95</v>
      </c>
      <c r="D138" s="143" t="s">
        <v>205</v>
      </c>
      <c r="E138" s="147" t="s">
        <v>100</v>
      </c>
      <c r="F138" s="148">
        <v>1190</v>
      </c>
      <c r="G138" s="149">
        <v>121.48</v>
      </c>
      <c r="H138" s="150">
        <f t="shared" si="3"/>
        <v>144561.20000000001</v>
      </c>
    </row>
    <row r="139" spans="1:8" s="3" customFormat="1" ht="15" x14ac:dyDescent="0.25">
      <c r="A139" s="98" t="s">
        <v>680</v>
      </c>
      <c r="B139" s="112"/>
      <c r="C139" s="100"/>
      <c r="D139" s="99" t="s">
        <v>452</v>
      </c>
      <c r="E139" s="101"/>
      <c r="F139" s="100"/>
      <c r="G139" s="101"/>
      <c r="H139" s="102"/>
    </row>
    <row r="140" spans="1:8" s="3" customFormat="1" ht="42.75" x14ac:dyDescent="0.25">
      <c r="A140" s="146" t="s">
        <v>681</v>
      </c>
      <c r="B140" s="147">
        <v>94995</v>
      </c>
      <c r="C140" s="147" t="s">
        <v>23</v>
      </c>
      <c r="D140" s="143" t="s">
        <v>206</v>
      </c>
      <c r="E140" s="147" t="s">
        <v>100</v>
      </c>
      <c r="F140" s="148">
        <v>135</v>
      </c>
      <c r="G140" s="149">
        <v>84.83</v>
      </c>
      <c r="H140" s="150">
        <f t="shared" si="3"/>
        <v>11452.05</v>
      </c>
    </row>
    <row r="141" spans="1:8" s="3" customFormat="1" ht="14.25" x14ac:dyDescent="0.25">
      <c r="A141" s="146" t="s">
        <v>682</v>
      </c>
      <c r="B141" s="147" t="s">
        <v>207</v>
      </c>
      <c r="C141" s="147" t="s">
        <v>95</v>
      </c>
      <c r="D141" s="143" t="s">
        <v>208</v>
      </c>
      <c r="E141" s="147" t="s">
        <v>111</v>
      </c>
      <c r="F141" s="148">
        <v>0.82</v>
      </c>
      <c r="G141" s="149">
        <v>757.58</v>
      </c>
      <c r="H141" s="150">
        <f t="shared" si="3"/>
        <v>621.22</v>
      </c>
    </row>
    <row r="142" spans="1:8" s="3" customFormat="1" ht="15" x14ac:dyDescent="0.25">
      <c r="A142" s="98" t="s">
        <v>683</v>
      </c>
      <c r="B142" s="112"/>
      <c r="C142" s="100"/>
      <c r="D142" s="99" t="s">
        <v>452</v>
      </c>
      <c r="E142" s="101"/>
      <c r="F142" s="100"/>
      <c r="G142" s="101"/>
      <c r="H142" s="102"/>
    </row>
    <row r="143" spans="1:8" s="3" customFormat="1" ht="42.75" x14ac:dyDescent="0.25">
      <c r="A143" s="146" t="s">
        <v>684</v>
      </c>
      <c r="B143" s="147">
        <v>94991</v>
      </c>
      <c r="C143" s="147" t="s">
        <v>23</v>
      </c>
      <c r="D143" s="143" t="s">
        <v>209</v>
      </c>
      <c r="E143" s="147" t="s">
        <v>111</v>
      </c>
      <c r="F143" s="148">
        <v>47.36</v>
      </c>
      <c r="G143" s="149">
        <v>650.71</v>
      </c>
      <c r="H143" s="150">
        <f t="shared" si="3"/>
        <v>30817.63</v>
      </c>
    </row>
    <row r="144" spans="1:8" s="3" customFormat="1" ht="15" x14ac:dyDescent="0.25">
      <c r="A144" s="98" t="s">
        <v>685</v>
      </c>
      <c r="B144" s="112"/>
      <c r="C144" s="100"/>
      <c r="D144" s="99" t="s">
        <v>210</v>
      </c>
      <c r="E144" s="101"/>
      <c r="F144" s="100"/>
      <c r="G144" s="101"/>
      <c r="H144" s="102"/>
    </row>
    <row r="145" spans="1:8" s="141" customFormat="1" ht="28.5" x14ac:dyDescent="0.25">
      <c r="A145" s="146" t="s">
        <v>686</v>
      </c>
      <c r="B145" s="147">
        <v>96114</v>
      </c>
      <c r="C145" s="147" t="s">
        <v>23</v>
      </c>
      <c r="D145" s="143" t="s">
        <v>211</v>
      </c>
      <c r="E145" s="147" t="s">
        <v>100</v>
      </c>
      <c r="F145" s="148">
        <v>550</v>
      </c>
      <c r="G145" s="149">
        <v>74.349999999999994</v>
      </c>
      <c r="H145" s="150">
        <f t="shared" si="3"/>
        <v>40892.5</v>
      </c>
    </row>
    <row r="146" spans="1:8" s="3" customFormat="1" ht="15" x14ac:dyDescent="0.25">
      <c r="A146" s="98" t="s">
        <v>687</v>
      </c>
      <c r="B146" s="112"/>
      <c r="C146" s="100"/>
      <c r="D146" s="99" t="s">
        <v>4</v>
      </c>
      <c r="E146" s="101"/>
      <c r="F146" s="100"/>
      <c r="G146" s="101"/>
      <c r="H146" s="102"/>
    </row>
    <row r="147" spans="1:8" s="3" customFormat="1" ht="15" x14ac:dyDescent="0.25">
      <c r="A147" s="98" t="s">
        <v>688</v>
      </c>
      <c r="B147" s="112"/>
      <c r="C147" s="100"/>
      <c r="D147" s="99" t="s">
        <v>212</v>
      </c>
      <c r="E147" s="101"/>
      <c r="F147" s="100"/>
      <c r="G147" s="101"/>
      <c r="H147" s="102"/>
    </row>
    <row r="148" spans="1:8" s="3" customFormat="1" ht="28.5" x14ac:dyDescent="0.25">
      <c r="A148" s="146" t="s">
        <v>689</v>
      </c>
      <c r="B148" s="147">
        <v>88485</v>
      </c>
      <c r="C148" s="147" t="s">
        <v>23</v>
      </c>
      <c r="D148" s="143" t="s">
        <v>213</v>
      </c>
      <c r="E148" s="147" t="s">
        <v>100</v>
      </c>
      <c r="F148" s="148">
        <v>1500</v>
      </c>
      <c r="G148" s="149">
        <v>4.9400000000000004</v>
      </c>
      <c r="H148" s="150">
        <f t="shared" si="3"/>
        <v>7410</v>
      </c>
    </row>
    <row r="149" spans="1:8" s="3" customFormat="1" ht="28.5" x14ac:dyDescent="0.25">
      <c r="A149" s="146" t="s">
        <v>690</v>
      </c>
      <c r="B149" s="147">
        <v>88495</v>
      </c>
      <c r="C149" s="147" t="s">
        <v>23</v>
      </c>
      <c r="D149" s="143" t="s">
        <v>214</v>
      </c>
      <c r="E149" s="147" t="s">
        <v>100</v>
      </c>
      <c r="F149" s="148">
        <v>1225.33</v>
      </c>
      <c r="G149" s="149">
        <v>13.84</v>
      </c>
      <c r="H149" s="150">
        <f t="shared" si="3"/>
        <v>16958.57</v>
      </c>
    </row>
    <row r="150" spans="1:8" s="141" customFormat="1" ht="28.5" x14ac:dyDescent="0.25">
      <c r="A150" s="146" t="s">
        <v>691</v>
      </c>
      <c r="B150" s="147">
        <v>96130</v>
      </c>
      <c r="C150" s="147" t="s">
        <v>23</v>
      </c>
      <c r="D150" s="143" t="s">
        <v>215</v>
      </c>
      <c r="E150" s="147" t="s">
        <v>100</v>
      </c>
      <c r="F150" s="148">
        <v>777.1</v>
      </c>
      <c r="G150" s="149">
        <v>22.43</v>
      </c>
      <c r="H150" s="150">
        <f t="shared" si="3"/>
        <v>17430.349999999999</v>
      </c>
    </row>
    <row r="151" spans="1:8" s="3" customFormat="1" ht="28.5" x14ac:dyDescent="0.25">
      <c r="A151" s="146" t="s">
        <v>692</v>
      </c>
      <c r="B151" s="147">
        <v>104641</v>
      </c>
      <c r="C151" s="147" t="s">
        <v>23</v>
      </c>
      <c r="D151" s="143" t="s">
        <v>216</v>
      </c>
      <c r="E151" s="147" t="s">
        <v>100</v>
      </c>
      <c r="F151" s="148">
        <v>1500</v>
      </c>
      <c r="G151" s="149">
        <v>10.84</v>
      </c>
      <c r="H151" s="150">
        <f t="shared" si="3"/>
        <v>16260</v>
      </c>
    </row>
    <row r="152" spans="1:8" s="3" customFormat="1" ht="15" x14ac:dyDescent="0.25">
      <c r="A152" s="98" t="s">
        <v>693</v>
      </c>
      <c r="B152" s="112"/>
      <c r="C152" s="100"/>
      <c r="D152" s="99" t="s">
        <v>217</v>
      </c>
      <c r="E152" s="101"/>
      <c r="F152" s="100"/>
      <c r="G152" s="101"/>
      <c r="H152" s="102"/>
    </row>
    <row r="153" spans="1:8" s="3" customFormat="1" ht="28.5" x14ac:dyDescent="0.25">
      <c r="A153" s="146" t="s">
        <v>694</v>
      </c>
      <c r="B153" s="147">
        <v>88494</v>
      </c>
      <c r="C153" s="147" t="s">
        <v>23</v>
      </c>
      <c r="D153" s="143" t="s">
        <v>218</v>
      </c>
      <c r="E153" s="147" t="s">
        <v>100</v>
      </c>
      <c r="F153" s="148">
        <v>550</v>
      </c>
      <c r="G153" s="149">
        <v>25.66</v>
      </c>
      <c r="H153" s="150">
        <f t="shared" si="3"/>
        <v>14113</v>
      </c>
    </row>
    <row r="154" spans="1:8" s="3" customFormat="1" ht="28.5" x14ac:dyDescent="0.25">
      <c r="A154" s="146" t="s">
        <v>695</v>
      </c>
      <c r="B154" s="147">
        <v>104639</v>
      </c>
      <c r="C154" s="147" t="s">
        <v>23</v>
      </c>
      <c r="D154" s="143" t="s">
        <v>219</v>
      </c>
      <c r="E154" s="147" t="s">
        <v>100</v>
      </c>
      <c r="F154" s="148">
        <v>550</v>
      </c>
      <c r="G154" s="149">
        <v>13.75</v>
      </c>
      <c r="H154" s="150">
        <f t="shared" si="3"/>
        <v>7562.5</v>
      </c>
    </row>
    <row r="155" spans="1:8" s="3" customFormat="1" ht="15" x14ac:dyDescent="0.25">
      <c r="A155" s="98" t="s">
        <v>696</v>
      </c>
      <c r="B155" s="112"/>
      <c r="C155" s="100"/>
      <c r="D155" s="99" t="s">
        <v>6</v>
      </c>
      <c r="E155" s="101"/>
      <c r="F155" s="100"/>
      <c r="G155" s="101"/>
      <c r="H155" s="102"/>
    </row>
    <row r="156" spans="1:8" s="3" customFormat="1" ht="14.25" x14ac:dyDescent="0.25">
      <c r="A156" s="146" t="s">
        <v>697</v>
      </c>
      <c r="B156" s="147">
        <v>102197</v>
      </c>
      <c r="C156" s="147" t="s">
        <v>23</v>
      </c>
      <c r="D156" s="143" t="s">
        <v>220</v>
      </c>
      <c r="E156" s="147" t="s">
        <v>100</v>
      </c>
      <c r="F156" s="148">
        <v>113.89</v>
      </c>
      <c r="G156" s="149">
        <v>28.64</v>
      </c>
      <c r="H156" s="150">
        <f t="shared" si="3"/>
        <v>3261.81</v>
      </c>
    </row>
    <row r="157" spans="1:8" s="3" customFormat="1" ht="28.5" x14ac:dyDescent="0.25">
      <c r="A157" s="146" t="s">
        <v>698</v>
      </c>
      <c r="B157" s="147">
        <v>102219</v>
      </c>
      <c r="C157" s="147" t="s">
        <v>23</v>
      </c>
      <c r="D157" s="143" t="s">
        <v>221</v>
      </c>
      <c r="E157" s="147" t="s">
        <v>100</v>
      </c>
      <c r="F157" s="148">
        <v>113.89</v>
      </c>
      <c r="G157" s="149">
        <v>20.02</v>
      </c>
      <c r="H157" s="150">
        <f t="shared" si="3"/>
        <v>2280.08</v>
      </c>
    </row>
    <row r="158" spans="1:8" s="3" customFormat="1" ht="15" x14ac:dyDescent="0.25">
      <c r="A158" s="93"/>
      <c r="B158" s="86"/>
      <c r="C158" s="86"/>
      <c r="D158" s="94" t="s">
        <v>438</v>
      </c>
      <c r="E158" s="95"/>
      <c r="F158" s="96"/>
      <c r="G158" s="95"/>
      <c r="H158" s="97">
        <f>SUM(H133:H157)</f>
        <v>387402.73</v>
      </c>
    </row>
    <row r="159" spans="1:8" s="3" customFormat="1" ht="15" x14ac:dyDescent="0.25">
      <c r="A159" s="89">
        <v>10</v>
      </c>
      <c r="B159" s="91"/>
      <c r="C159" s="91"/>
      <c r="D159" s="90" t="s">
        <v>224</v>
      </c>
      <c r="E159" s="90"/>
      <c r="F159" s="90"/>
      <c r="G159" s="90"/>
      <c r="H159" s="92"/>
    </row>
    <row r="160" spans="1:8" s="3" customFormat="1" ht="15" x14ac:dyDescent="0.25">
      <c r="A160" s="98" t="s">
        <v>569</v>
      </c>
      <c r="B160" s="112"/>
      <c r="C160" s="100"/>
      <c r="D160" s="99" t="s">
        <v>222</v>
      </c>
      <c r="E160" s="101"/>
      <c r="F160" s="100"/>
      <c r="G160" s="101"/>
      <c r="H160" s="102"/>
    </row>
    <row r="161" spans="1:8" s="3" customFormat="1" ht="28.5" x14ac:dyDescent="0.25">
      <c r="A161" s="146" t="s">
        <v>570</v>
      </c>
      <c r="B161" s="147" t="s">
        <v>223</v>
      </c>
      <c r="C161" s="147" t="s">
        <v>95</v>
      </c>
      <c r="D161" s="143" t="s">
        <v>90</v>
      </c>
      <c r="E161" s="147" t="s">
        <v>100</v>
      </c>
      <c r="F161" s="148">
        <v>20</v>
      </c>
      <c r="G161" s="149">
        <v>928.44</v>
      </c>
      <c r="H161" s="150">
        <f t="shared" si="3"/>
        <v>18568.8</v>
      </c>
    </row>
    <row r="162" spans="1:8" s="141" customFormat="1" ht="28.5" x14ac:dyDescent="0.25">
      <c r="A162" s="146" t="s">
        <v>571</v>
      </c>
      <c r="B162" s="147">
        <v>101965</v>
      </c>
      <c r="C162" s="147" t="s">
        <v>23</v>
      </c>
      <c r="D162" s="143" t="s">
        <v>29</v>
      </c>
      <c r="E162" s="147" t="s">
        <v>24</v>
      </c>
      <c r="F162" s="148">
        <v>93.3</v>
      </c>
      <c r="G162" s="149">
        <v>142.65</v>
      </c>
      <c r="H162" s="150">
        <f t="shared" si="3"/>
        <v>13309.25</v>
      </c>
    </row>
    <row r="163" spans="1:8" s="3" customFormat="1" ht="15" x14ac:dyDescent="0.25">
      <c r="A163" s="98" t="s">
        <v>572</v>
      </c>
      <c r="B163" s="112"/>
      <c r="C163" s="100"/>
      <c r="D163" s="99" t="s">
        <v>225</v>
      </c>
      <c r="E163" s="101"/>
      <c r="F163" s="100"/>
      <c r="G163" s="101"/>
      <c r="H163" s="102"/>
    </row>
    <row r="164" spans="1:8" s="3" customFormat="1" ht="28.5" x14ac:dyDescent="0.25">
      <c r="A164" s="146" t="s">
        <v>573</v>
      </c>
      <c r="B164" s="147">
        <v>100860</v>
      </c>
      <c r="C164" s="147" t="s">
        <v>23</v>
      </c>
      <c r="D164" s="143" t="s">
        <v>226</v>
      </c>
      <c r="E164" s="147" t="s">
        <v>27</v>
      </c>
      <c r="F164" s="148">
        <v>4</v>
      </c>
      <c r="G164" s="149">
        <v>108.89</v>
      </c>
      <c r="H164" s="150">
        <f t="shared" si="3"/>
        <v>435.56</v>
      </c>
    </row>
    <row r="165" spans="1:8" s="3" customFormat="1" ht="15" x14ac:dyDescent="0.25">
      <c r="A165" s="98" t="s">
        <v>574</v>
      </c>
      <c r="B165" s="112"/>
      <c r="C165" s="100"/>
      <c r="D165" s="99" t="s">
        <v>79</v>
      </c>
      <c r="E165" s="101"/>
      <c r="F165" s="100"/>
      <c r="G165" s="101"/>
      <c r="H165" s="102"/>
    </row>
    <row r="166" spans="1:8" s="3" customFormat="1" ht="42.75" x14ac:dyDescent="0.25">
      <c r="A166" s="146" t="s">
        <v>575</v>
      </c>
      <c r="B166" s="147">
        <v>86932</v>
      </c>
      <c r="C166" s="147" t="s">
        <v>23</v>
      </c>
      <c r="D166" s="143" t="s">
        <v>227</v>
      </c>
      <c r="E166" s="147" t="s">
        <v>27</v>
      </c>
      <c r="F166" s="148">
        <v>11</v>
      </c>
      <c r="G166" s="149">
        <v>525.78</v>
      </c>
      <c r="H166" s="150">
        <f t="shared" si="3"/>
        <v>5783.58</v>
      </c>
    </row>
    <row r="167" spans="1:8" s="3" customFormat="1" ht="14.25" x14ac:dyDescent="0.25">
      <c r="A167" s="146" t="s">
        <v>699</v>
      </c>
      <c r="B167" s="147" t="s">
        <v>228</v>
      </c>
      <c r="C167" s="147" t="s">
        <v>95</v>
      </c>
      <c r="D167" s="143" t="s">
        <v>229</v>
      </c>
      <c r="E167" s="147" t="s">
        <v>196</v>
      </c>
      <c r="F167" s="148">
        <v>1</v>
      </c>
      <c r="G167" s="149">
        <v>1064.22</v>
      </c>
      <c r="H167" s="150">
        <f t="shared" si="3"/>
        <v>1064.22</v>
      </c>
    </row>
    <row r="168" spans="1:8" s="3" customFormat="1" ht="57" x14ac:dyDescent="0.25">
      <c r="A168" s="146" t="s">
        <v>700</v>
      </c>
      <c r="B168" s="147">
        <v>86939</v>
      </c>
      <c r="C168" s="147" t="s">
        <v>23</v>
      </c>
      <c r="D168" s="143" t="s">
        <v>230</v>
      </c>
      <c r="E168" s="147" t="s">
        <v>27</v>
      </c>
      <c r="F168" s="148">
        <v>20</v>
      </c>
      <c r="G168" s="149">
        <v>429.48</v>
      </c>
      <c r="H168" s="150">
        <f t="shared" si="3"/>
        <v>8589.6</v>
      </c>
    </row>
    <row r="169" spans="1:8" s="3" customFormat="1" ht="42.75" x14ac:dyDescent="0.25">
      <c r="A169" s="146" t="s">
        <v>701</v>
      </c>
      <c r="B169" s="147">
        <v>86919</v>
      </c>
      <c r="C169" s="147" t="s">
        <v>23</v>
      </c>
      <c r="D169" s="143" t="s">
        <v>30</v>
      </c>
      <c r="E169" s="147" t="s">
        <v>27</v>
      </c>
      <c r="F169" s="148">
        <v>2</v>
      </c>
      <c r="G169" s="149">
        <v>880.86</v>
      </c>
      <c r="H169" s="150">
        <f t="shared" si="3"/>
        <v>1761.72</v>
      </c>
    </row>
    <row r="170" spans="1:8" s="3" customFormat="1" ht="14.25" x14ac:dyDescent="0.25">
      <c r="A170" s="146" t="s">
        <v>702</v>
      </c>
      <c r="B170" s="147" t="s">
        <v>231</v>
      </c>
      <c r="C170" s="147" t="s">
        <v>95</v>
      </c>
      <c r="D170" s="143" t="s">
        <v>232</v>
      </c>
      <c r="E170" s="147" t="s">
        <v>233</v>
      </c>
      <c r="F170" s="148">
        <v>3</v>
      </c>
      <c r="G170" s="149">
        <v>237.03</v>
      </c>
      <c r="H170" s="150">
        <f t="shared" si="3"/>
        <v>711.09</v>
      </c>
    </row>
    <row r="171" spans="1:8" s="3" customFormat="1" ht="28.5" x14ac:dyDescent="0.25">
      <c r="A171" s="146" t="s">
        <v>703</v>
      </c>
      <c r="B171" s="147">
        <v>86901</v>
      </c>
      <c r="C171" s="147" t="s">
        <v>23</v>
      </c>
      <c r="D171" s="143" t="s">
        <v>234</v>
      </c>
      <c r="E171" s="147" t="s">
        <v>27</v>
      </c>
      <c r="F171" s="148">
        <v>6</v>
      </c>
      <c r="G171" s="149">
        <v>147.75</v>
      </c>
      <c r="H171" s="150">
        <f t="shared" si="3"/>
        <v>886.5</v>
      </c>
    </row>
    <row r="172" spans="1:8" s="3" customFormat="1" ht="14.25" x14ac:dyDescent="0.25">
      <c r="A172" s="146" t="s">
        <v>704</v>
      </c>
      <c r="B172" s="147" t="s">
        <v>235</v>
      </c>
      <c r="C172" s="147" t="s">
        <v>95</v>
      </c>
      <c r="D172" s="143" t="s">
        <v>236</v>
      </c>
      <c r="E172" s="147" t="s">
        <v>196</v>
      </c>
      <c r="F172" s="148">
        <v>10</v>
      </c>
      <c r="G172" s="149">
        <v>123.36</v>
      </c>
      <c r="H172" s="150">
        <f t="shared" si="3"/>
        <v>1233.5999999999999</v>
      </c>
    </row>
    <row r="173" spans="1:8" s="3" customFormat="1" ht="15" x14ac:dyDescent="0.25">
      <c r="A173" s="98" t="s">
        <v>673</v>
      </c>
      <c r="B173" s="112"/>
      <c r="C173" s="100"/>
      <c r="D173" s="99" t="s">
        <v>237</v>
      </c>
      <c r="E173" s="101"/>
      <c r="F173" s="100"/>
      <c r="G173" s="101"/>
      <c r="H173" s="102"/>
    </row>
    <row r="174" spans="1:8" s="3" customFormat="1" ht="28.5" x14ac:dyDescent="0.25">
      <c r="A174" s="146" t="s">
        <v>674</v>
      </c>
      <c r="B174" s="147" t="s">
        <v>238</v>
      </c>
      <c r="C174" s="147" t="s">
        <v>95</v>
      </c>
      <c r="D174" s="143" t="s">
        <v>239</v>
      </c>
      <c r="E174" s="147" t="s">
        <v>100</v>
      </c>
      <c r="F174" s="148">
        <v>6</v>
      </c>
      <c r="G174" s="149">
        <v>1333.12</v>
      </c>
      <c r="H174" s="150">
        <f t="shared" si="3"/>
        <v>7998.72</v>
      </c>
    </row>
    <row r="175" spans="1:8" s="3" customFormat="1" ht="28.5" x14ac:dyDescent="0.25">
      <c r="A175" s="146" t="s">
        <v>675</v>
      </c>
      <c r="B175" s="147">
        <v>86900</v>
      </c>
      <c r="C175" s="147" t="s">
        <v>23</v>
      </c>
      <c r="D175" s="143" t="s">
        <v>91</v>
      </c>
      <c r="E175" s="147" t="s">
        <v>27</v>
      </c>
      <c r="F175" s="148">
        <v>10</v>
      </c>
      <c r="G175" s="149">
        <v>194.22</v>
      </c>
      <c r="H175" s="150">
        <f t="shared" si="3"/>
        <v>1942.2</v>
      </c>
    </row>
    <row r="176" spans="1:8" s="3" customFormat="1" ht="28.5" x14ac:dyDescent="0.25">
      <c r="A176" s="146" t="s">
        <v>676</v>
      </c>
      <c r="B176" s="147">
        <v>86913</v>
      </c>
      <c r="C176" s="147" t="s">
        <v>23</v>
      </c>
      <c r="D176" s="143" t="s">
        <v>240</v>
      </c>
      <c r="E176" s="147" t="s">
        <v>27</v>
      </c>
      <c r="F176" s="148">
        <v>5</v>
      </c>
      <c r="G176" s="149">
        <v>52.3</v>
      </c>
      <c r="H176" s="150">
        <f t="shared" si="3"/>
        <v>261.5</v>
      </c>
    </row>
    <row r="177" spans="1:8" s="3" customFormat="1" ht="14.25" x14ac:dyDescent="0.25">
      <c r="A177" s="146" t="s">
        <v>705</v>
      </c>
      <c r="B177" s="147" t="s">
        <v>241</v>
      </c>
      <c r="C177" s="147" t="s">
        <v>95</v>
      </c>
      <c r="D177" s="143" t="s">
        <v>242</v>
      </c>
      <c r="E177" s="147" t="s">
        <v>196</v>
      </c>
      <c r="F177" s="148">
        <v>3</v>
      </c>
      <c r="G177" s="149">
        <v>344.18</v>
      </c>
      <c r="H177" s="150">
        <f t="shared" si="3"/>
        <v>1032.54</v>
      </c>
    </row>
    <row r="178" spans="1:8" s="3" customFormat="1" ht="28.5" x14ac:dyDescent="0.25">
      <c r="A178" s="146" t="s">
        <v>706</v>
      </c>
      <c r="B178" s="147" t="s">
        <v>243</v>
      </c>
      <c r="C178" s="147" t="s">
        <v>95</v>
      </c>
      <c r="D178" s="143" t="s">
        <v>244</v>
      </c>
      <c r="E178" s="147" t="s">
        <v>27</v>
      </c>
      <c r="F178" s="148">
        <v>10</v>
      </c>
      <c r="G178" s="149">
        <v>350.82</v>
      </c>
      <c r="H178" s="150">
        <f t="shared" si="3"/>
        <v>3508.2</v>
      </c>
    </row>
    <row r="179" spans="1:8" s="3" customFormat="1" ht="28.5" x14ac:dyDescent="0.25">
      <c r="A179" s="146" t="s">
        <v>707</v>
      </c>
      <c r="B179" s="147" t="s">
        <v>245</v>
      </c>
      <c r="C179" s="147" t="s">
        <v>95</v>
      </c>
      <c r="D179" s="143" t="s">
        <v>246</v>
      </c>
      <c r="E179" s="147" t="s">
        <v>196</v>
      </c>
      <c r="F179" s="148">
        <v>39</v>
      </c>
      <c r="G179" s="149">
        <v>149.28</v>
      </c>
      <c r="H179" s="150">
        <f t="shared" si="3"/>
        <v>5821.92</v>
      </c>
    </row>
    <row r="180" spans="1:8" s="3" customFormat="1" ht="28.5" x14ac:dyDescent="0.25">
      <c r="A180" s="146" t="s">
        <v>708</v>
      </c>
      <c r="B180" s="147" t="s">
        <v>247</v>
      </c>
      <c r="C180" s="147" t="s">
        <v>95</v>
      </c>
      <c r="D180" s="143" t="s">
        <v>248</v>
      </c>
      <c r="E180" s="147" t="s">
        <v>196</v>
      </c>
      <c r="F180" s="148">
        <v>10</v>
      </c>
      <c r="G180" s="149">
        <v>160.16</v>
      </c>
      <c r="H180" s="150">
        <f t="shared" si="3"/>
        <v>1601.6</v>
      </c>
    </row>
    <row r="181" spans="1:8" s="3" customFormat="1" ht="28.5" x14ac:dyDescent="0.25">
      <c r="A181" s="146" t="s">
        <v>709</v>
      </c>
      <c r="B181" s="147" t="s">
        <v>249</v>
      </c>
      <c r="C181" s="147" t="s">
        <v>95</v>
      </c>
      <c r="D181" s="143" t="s">
        <v>250</v>
      </c>
      <c r="E181" s="147" t="s">
        <v>196</v>
      </c>
      <c r="F181" s="148">
        <v>7</v>
      </c>
      <c r="G181" s="149">
        <v>130.38999999999999</v>
      </c>
      <c r="H181" s="150">
        <f t="shared" si="3"/>
        <v>912.73</v>
      </c>
    </row>
    <row r="182" spans="1:8" s="3" customFormat="1" ht="28.5" x14ac:dyDescent="0.25">
      <c r="A182" s="146" t="s">
        <v>710</v>
      </c>
      <c r="B182" s="147">
        <v>100867</v>
      </c>
      <c r="C182" s="147" t="s">
        <v>23</v>
      </c>
      <c r="D182" s="143" t="s">
        <v>251</v>
      </c>
      <c r="E182" s="147" t="s">
        <v>27</v>
      </c>
      <c r="F182" s="148">
        <v>5</v>
      </c>
      <c r="G182" s="149">
        <v>359.41</v>
      </c>
      <c r="H182" s="150">
        <f t="shared" si="3"/>
        <v>1797.05</v>
      </c>
    </row>
    <row r="183" spans="1:8" s="3" customFormat="1" ht="28.5" x14ac:dyDescent="0.25">
      <c r="A183" s="146" t="s">
        <v>711</v>
      </c>
      <c r="B183" s="147">
        <v>100875</v>
      </c>
      <c r="C183" s="147" t="s">
        <v>23</v>
      </c>
      <c r="D183" s="143" t="s">
        <v>75</v>
      </c>
      <c r="E183" s="147" t="s">
        <v>27</v>
      </c>
      <c r="F183" s="148">
        <v>1</v>
      </c>
      <c r="G183" s="149">
        <v>1156.82</v>
      </c>
      <c r="H183" s="150">
        <f t="shared" si="3"/>
        <v>1156.82</v>
      </c>
    </row>
    <row r="184" spans="1:8" s="3" customFormat="1" ht="14.25" x14ac:dyDescent="0.25">
      <c r="A184" s="146" t="s">
        <v>712</v>
      </c>
      <c r="B184" s="147" t="s">
        <v>252</v>
      </c>
      <c r="C184" s="147" t="s">
        <v>95</v>
      </c>
      <c r="D184" s="143" t="s">
        <v>253</v>
      </c>
      <c r="E184" s="147" t="s">
        <v>27</v>
      </c>
      <c r="F184" s="148">
        <v>25</v>
      </c>
      <c r="G184" s="149">
        <v>191.28</v>
      </c>
      <c r="H184" s="150">
        <f t="shared" si="3"/>
        <v>4782</v>
      </c>
    </row>
    <row r="185" spans="1:8" s="3" customFormat="1" ht="15" x14ac:dyDescent="0.25">
      <c r="A185" s="93"/>
      <c r="B185" s="86"/>
      <c r="C185" s="86"/>
      <c r="D185" s="94" t="s">
        <v>438</v>
      </c>
      <c r="E185" s="95"/>
      <c r="F185" s="96"/>
      <c r="G185" s="95"/>
      <c r="H185" s="97">
        <f>SUM(H160:H184)</f>
        <v>83159.199999999997</v>
      </c>
    </row>
    <row r="186" spans="1:8" s="3" customFormat="1" ht="15" x14ac:dyDescent="0.25">
      <c r="A186" s="89">
        <v>11</v>
      </c>
      <c r="B186" s="91"/>
      <c r="C186" s="91"/>
      <c r="D186" s="90" t="s">
        <v>254</v>
      </c>
      <c r="E186" s="90"/>
      <c r="F186" s="90"/>
      <c r="G186" s="90"/>
      <c r="H186" s="92"/>
    </row>
    <row r="187" spans="1:8" s="3" customFormat="1" ht="15" x14ac:dyDescent="0.25">
      <c r="A187" s="98" t="s">
        <v>576</v>
      </c>
      <c r="B187" s="112"/>
      <c r="C187" s="100"/>
      <c r="D187" s="99" t="s">
        <v>255</v>
      </c>
      <c r="E187" s="101"/>
      <c r="F187" s="100"/>
      <c r="G187" s="101"/>
      <c r="H187" s="102"/>
    </row>
    <row r="188" spans="1:8" s="3" customFormat="1" ht="28.5" x14ac:dyDescent="0.25">
      <c r="A188" s="146" t="s">
        <v>577</v>
      </c>
      <c r="B188" s="147">
        <v>103039</v>
      </c>
      <c r="C188" s="147" t="s">
        <v>23</v>
      </c>
      <c r="D188" s="143" t="s">
        <v>256</v>
      </c>
      <c r="E188" s="147" t="s">
        <v>27</v>
      </c>
      <c r="F188" s="148">
        <v>1</v>
      </c>
      <c r="G188" s="149">
        <v>81.41</v>
      </c>
      <c r="H188" s="150">
        <f t="shared" si="3"/>
        <v>81.41</v>
      </c>
    </row>
    <row r="189" spans="1:8" s="3" customFormat="1" ht="28.5" x14ac:dyDescent="0.25">
      <c r="A189" s="146" t="s">
        <v>578</v>
      </c>
      <c r="B189" s="147">
        <v>94492</v>
      </c>
      <c r="C189" s="147" t="s">
        <v>23</v>
      </c>
      <c r="D189" s="143" t="s">
        <v>257</v>
      </c>
      <c r="E189" s="147" t="s">
        <v>27</v>
      </c>
      <c r="F189" s="148">
        <v>1</v>
      </c>
      <c r="G189" s="149">
        <v>71.66</v>
      </c>
      <c r="H189" s="150">
        <f t="shared" si="3"/>
        <v>71.66</v>
      </c>
    </row>
    <row r="190" spans="1:8" s="3" customFormat="1" ht="42.75" x14ac:dyDescent="0.25">
      <c r="A190" s="146" t="s">
        <v>713</v>
      </c>
      <c r="B190" s="147">
        <v>94662</v>
      </c>
      <c r="C190" s="147" t="s">
        <v>23</v>
      </c>
      <c r="D190" s="143" t="s">
        <v>258</v>
      </c>
      <c r="E190" s="147" t="s">
        <v>27</v>
      </c>
      <c r="F190" s="148">
        <v>3</v>
      </c>
      <c r="G190" s="149">
        <v>11.96</v>
      </c>
      <c r="H190" s="150">
        <f t="shared" ref="H190:H249" si="4">G190*F190</f>
        <v>35.880000000000003</v>
      </c>
    </row>
    <row r="191" spans="1:8" s="3" customFormat="1" ht="28.5" x14ac:dyDescent="0.25">
      <c r="A191" s="146" t="s">
        <v>714</v>
      </c>
      <c r="B191" s="147">
        <v>103979</v>
      </c>
      <c r="C191" s="147" t="s">
        <v>23</v>
      </c>
      <c r="D191" s="143" t="s">
        <v>259</v>
      </c>
      <c r="E191" s="147" t="s">
        <v>24</v>
      </c>
      <c r="F191" s="148">
        <v>218.3</v>
      </c>
      <c r="G191" s="149">
        <v>34.03</v>
      </c>
      <c r="H191" s="150">
        <f t="shared" si="4"/>
        <v>7428.75</v>
      </c>
    </row>
    <row r="192" spans="1:8" s="141" customFormat="1" ht="28.5" x14ac:dyDescent="0.25">
      <c r="A192" s="146" t="s">
        <v>715</v>
      </c>
      <c r="B192" s="147">
        <v>104008</v>
      </c>
      <c r="C192" s="147" t="s">
        <v>23</v>
      </c>
      <c r="D192" s="143" t="s">
        <v>260</v>
      </c>
      <c r="E192" s="147" t="s">
        <v>27</v>
      </c>
      <c r="F192" s="148">
        <v>4</v>
      </c>
      <c r="G192" s="149">
        <v>35</v>
      </c>
      <c r="H192" s="150">
        <f t="shared" si="4"/>
        <v>140</v>
      </c>
    </row>
    <row r="193" spans="1:8" s="3" customFormat="1" ht="42.75" x14ac:dyDescent="0.25">
      <c r="A193" s="146" t="s">
        <v>716</v>
      </c>
      <c r="B193" s="147">
        <v>89732</v>
      </c>
      <c r="C193" s="147" t="s">
        <v>23</v>
      </c>
      <c r="D193" s="143" t="s">
        <v>261</v>
      </c>
      <c r="E193" s="147" t="s">
        <v>27</v>
      </c>
      <c r="F193" s="148">
        <v>6</v>
      </c>
      <c r="G193" s="149">
        <v>17.96</v>
      </c>
      <c r="H193" s="150">
        <f t="shared" si="4"/>
        <v>107.76</v>
      </c>
    </row>
    <row r="194" spans="1:8" s="141" customFormat="1" ht="42.75" x14ac:dyDescent="0.25">
      <c r="A194" s="146" t="s">
        <v>717</v>
      </c>
      <c r="B194" s="147">
        <v>89731</v>
      </c>
      <c r="C194" s="147" t="s">
        <v>23</v>
      </c>
      <c r="D194" s="143" t="s">
        <v>262</v>
      </c>
      <c r="E194" s="147" t="s">
        <v>27</v>
      </c>
      <c r="F194" s="148">
        <v>69</v>
      </c>
      <c r="G194" s="149">
        <v>17.16</v>
      </c>
      <c r="H194" s="150">
        <f t="shared" si="4"/>
        <v>1184.04</v>
      </c>
    </row>
    <row r="195" spans="1:8" s="3" customFormat="1" ht="42.75" x14ac:dyDescent="0.25">
      <c r="A195" s="146" t="s">
        <v>718</v>
      </c>
      <c r="B195" s="147">
        <v>104348</v>
      </c>
      <c r="C195" s="147" t="s">
        <v>23</v>
      </c>
      <c r="D195" s="143" t="s">
        <v>263</v>
      </c>
      <c r="E195" s="147" t="s">
        <v>27</v>
      </c>
      <c r="F195" s="148">
        <v>30</v>
      </c>
      <c r="G195" s="149">
        <v>11.91</v>
      </c>
      <c r="H195" s="150">
        <f t="shared" si="4"/>
        <v>357.3</v>
      </c>
    </row>
    <row r="196" spans="1:8" s="3" customFormat="1" ht="28.5" x14ac:dyDescent="0.25">
      <c r="A196" s="146" t="s">
        <v>719</v>
      </c>
      <c r="B196" s="147" t="s">
        <v>264</v>
      </c>
      <c r="C196" s="147" t="s">
        <v>95</v>
      </c>
      <c r="D196" s="143" t="s">
        <v>265</v>
      </c>
      <c r="E196" s="147" t="s">
        <v>88</v>
      </c>
      <c r="F196" s="148">
        <v>162</v>
      </c>
      <c r="G196" s="149">
        <v>40.130000000000003</v>
      </c>
      <c r="H196" s="150">
        <f t="shared" si="4"/>
        <v>6501.06</v>
      </c>
    </row>
    <row r="197" spans="1:8" s="3" customFormat="1" ht="42.75" x14ac:dyDescent="0.25">
      <c r="A197" s="146" t="s">
        <v>720</v>
      </c>
      <c r="B197" s="147">
        <v>89825</v>
      </c>
      <c r="C197" s="147" t="s">
        <v>23</v>
      </c>
      <c r="D197" s="143" t="s">
        <v>266</v>
      </c>
      <c r="E197" s="147" t="s">
        <v>27</v>
      </c>
      <c r="F197" s="148">
        <v>34</v>
      </c>
      <c r="G197" s="149">
        <v>17.89</v>
      </c>
      <c r="H197" s="150">
        <f t="shared" si="4"/>
        <v>608.26</v>
      </c>
    </row>
    <row r="198" spans="1:8" s="3" customFormat="1" ht="42.75" x14ac:dyDescent="0.25">
      <c r="A198" s="146" t="s">
        <v>721</v>
      </c>
      <c r="B198" s="147">
        <v>89829</v>
      </c>
      <c r="C198" s="147" t="s">
        <v>23</v>
      </c>
      <c r="D198" s="143" t="s">
        <v>267</v>
      </c>
      <c r="E198" s="147" t="s">
        <v>27</v>
      </c>
      <c r="F198" s="148">
        <v>2</v>
      </c>
      <c r="G198" s="149">
        <v>39.36</v>
      </c>
      <c r="H198" s="150">
        <f t="shared" si="4"/>
        <v>78.72</v>
      </c>
    </row>
    <row r="199" spans="1:8" s="3" customFormat="1" ht="14.25" x14ac:dyDescent="0.25">
      <c r="A199" s="146" t="s">
        <v>722</v>
      </c>
      <c r="B199" s="147" t="s">
        <v>268</v>
      </c>
      <c r="C199" s="147" t="s">
        <v>95</v>
      </c>
      <c r="D199" s="143" t="s">
        <v>269</v>
      </c>
      <c r="E199" s="147" t="s">
        <v>270</v>
      </c>
      <c r="F199" s="148">
        <v>1</v>
      </c>
      <c r="G199" s="149">
        <v>1039.18</v>
      </c>
      <c r="H199" s="150">
        <f t="shared" si="4"/>
        <v>1039.18</v>
      </c>
    </row>
    <row r="200" spans="1:8" s="3" customFormat="1" ht="28.5" x14ac:dyDescent="0.25">
      <c r="A200" s="146" t="s">
        <v>723</v>
      </c>
      <c r="B200" s="147">
        <v>94794</v>
      </c>
      <c r="C200" s="147" t="s">
        <v>23</v>
      </c>
      <c r="D200" s="143" t="s">
        <v>271</v>
      </c>
      <c r="E200" s="147" t="s">
        <v>27</v>
      </c>
      <c r="F200" s="148">
        <v>1</v>
      </c>
      <c r="G200" s="149">
        <v>132.65</v>
      </c>
      <c r="H200" s="150">
        <f t="shared" si="4"/>
        <v>132.65</v>
      </c>
    </row>
    <row r="201" spans="1:8" s="3" customFormat="1" ht="28.5" x14ac:dyDescent="0.25">
      <c r="A201" s="146" t="s">
        <v>724</v>
      </c>
      <c r="B201" s="147">
        <v>89987</v>
      </c>
      <c r="C201" s="147" t="s">
        <v>23</v>
      </c>
      <c r="D201" s="143" t="s">
        <v>272</v>
      </c>
      <c r="E201" s="147" t="s">
        <v>27</v>
      </c>
      <c r="F201" s="148">
        <v>40</v>
      </c>
      <c r="G201" s="149">
        <v>75.260000000000005</v>
      </c>
      <c r="H201" s="150">
        <f t="shared" si="4"/>
        <v>3010.4</v>
      </c>
    </row>
    <row r="202" spans="1:8" s="3" customFormat="1" ht="28.5" x14ac:dyDescent="0.25">
      <c r="A202" s="146" t="s">
        <v>725</v>
      </c>
      <c r="B202" s="147">
        <v>89985</v>
      </c>
      <c r="C202" s="147" t="s">
        <v>23</v>
      </c>
      <c r="D202" s="143" t="s">
        <v>273</v>
      </c>
      <c r="E202" s="147" t="s">
        <v>27</v>
      </c>
      <c r="F202" s="148">
        <v>6</v>
      </c>
      <c r="G202" s="149">
        <v>71.849999999999994</v>
      </c>
      <c r="H202" s="150">
        <f t="shared" si="4"/>
        <v>431.1</v>
      </c>
    </row>
    <row r="203" spans="1:8" s="3" customFormat="1" ht="42.75" x14ac:dyDescent="0.25">
      <c r="A203" s="146" t="s">
        <v>726</v>
      </c>
      <c r="B203" s="147">
        <v>92365</v>
      </c>
      <c r="C203" s="147" t="s">
        <v>23</v>
      </c>
      <c r="D203" s="143" t="s">
        <v>274</v>
      </c>
      <c r="E203" s="147" t="s">
        <v>24</v>
      </c>
      <c r="F203" s="148">
        <v>2</v>
      </c>
      <c r="G203" s="149">
        <v>67.5</v>
      </c>
      <c r="H203" s="150">
        <f t="shared" si="4"/>
        <v>135</v>
      </c>
    </row>
    <row r="204" spans="1:8" s="3" customFormat="1" ht="42.75" x14ac:dyDescent="0.25">
      <c r="A204" s="146" t="s">
        <v>727</v>
      </c>
      <c r="B204" s="147">
        <v>92336</v>
      </c>
      <c r="C204" s="147" t="s">
        <v>23</v>
      </c>
      <c r="D204" s="143" t="s">
        <v>275</v>
      </c>
      <c r="E204" s="147" t="s">
        <v>24</v>
      </c>
      <c r="F204" s="148">
        <v>1</v>
      </c>
      <c r="G204" s="149">
        <v>117.98</v>
      </c>
      <c r="H204" s="150">
        <f t="shared" si="4"/>
        <v>117.98</v>
      </c>
    </row>
    <row r="205" spans="1:8" s="3" customFormat="1" ht="28.5" x14ac:dyDescent="0.25">
      <c r="A205" s="146" t="s">
        <v>728</v>
      </c>
      <c r="B205" s="147">
        <v>89373</v>
      </c>
      <c r="C205" s="147" t="s">
        <v>23</v>
      </c>
      <c r="D205" s="143" t="s">
        <v>276</v>
      </c>
      <c r="E205" s="147" t="s">
        <v>27</v>
      </c>
      <c r="F205" s="148">
        <v>6</v>
      </c>
      <c r="G205" s="149">
        <v>8.68</v>
      </c>
      <c r="H205" s="150">
        <f t="shared" si="4"/>
        <v>52.08</v>
      </c>
    </row>
    <row r="206" spans="1:8" s="3" customFormat="1" ht="28.5" x14ac:dyDescent="0.25">
      <c r="A206" s="146" t="s">
        <v>729</v>
      </c>
      <c r="B206" s="147">
        <v>89593</v>
      </c>
      <c r="C206" s="147" t="s">
        <v>23</v>
      </c>
      <c r="D206" s="143" t="s">
        <v>277</v>
      </c>
      <c r="E206" s="147" t="s">
        <v>27</v>
      </c>
      <c r="F206" s="148">
        <v>2</v>
      </c>
      <c r="G206" s="149">
        <v>24.41</v>
      </c>
      <c r="H206" s="150">
        <f t="shared" si="4"/>
        <v>48.82</v>
      </c>
    </row>
    <row r="207" spans="1:8" s="3" customFormat="1" ht="42.75" x14ac:dyDescent="0.25">
      <c r="A207" s="146" t="s">
        <v>730</v>
      </c>
      <c r="B207" s="147">
        <v>94656</v>
      </c>
      <c r="C207" s="147" t="s">
        <v>23</v>
      </c>
      <c r="D207" s="143" t="s">
        <v>278</v>
      </c>
      <c r="E207" s="147" t="s">
        <v>27</v>
      </c>
      <c r="F207" s="148">
        <v>86</v>
      </c>
      <c r="G207" s="149">
        <v>3.96</v>
      </c>
      <c r="H207" s="150">
        <f t="shared" si="4"/>
        <v>340.56</v>
      </c>
    </row>
    <row r="208" spans="1:8" s="3" customFormat="1" ht="42.75" x14ac:dyDescent="0.25">
      <c r="A208" s="146" t="s">
        <v>731</v>
      </c>
      <c r="B208" s="147">
        <v>104002</v>
      </c>
      <c r="C208" s="147" t="s">
        <v>23</v>
      </c>
      <c r="D208" s="143" t="s">
        <v>279</v>
      </c>
      <c r="E208" s="147" t="s">
        <v>27</v>
      </c>
      <c r="F208" s="148">
        <v>1</v>
      </c>
      <c r="G208" s="149">
        <v>18.940000000000001</v>
      </c>
      <c r="H208" s="150">
        <f t="shared" si="4"/>
        <v>18.940000000000001</v>
      </c>
    </row>
    <row r="209" spans="1:11" s="3" customFormat="1" ht="28.5" x14ac:dyDescent="0.25">
      <c r="A209" s="146" t="s">
        <v>732</v>
      </c>
      <c r="B209" s="147">
        <v>103966</v>
      </c>
      <c r="C209" s="147" t="s">
        <v>23</v>
      </c>
      <c r="D209" s="143" t="s">
        <v>280</v>
      </c>
      <c r="E209" s="147" t="s">
        <v>27</v>
      </c>
      <c r="F209" s="148">
        <v>3</v>
      </c>
      <c r="G209" s="149">
        <v>10.25</v>
      </c>
      <c r="H209" s="150">
        <f t="shared" si="4"/>
        <v>30.75</v>
      </c>
    </row>
    <row r="210" spans="1:11" s="3" customFormat="1" ht="28.5" x14ac:dyDescent="0.25">
      <c r="A210" s="146" t="s">
        <v>733</v>
      </c>
      <c r="B210" s="147">
        <v>89489</v>
      </c>
      <c r="C210" s="147" t="s">
        <v>23</v>
      </c>
      <c r="D210" s="143" t="s">
        <v>281</v>
      </c>
      <c r="E210" s="147" t="s">
        <v>27</v>
      </c>
      <c r="F210" s="148">
        <v>158</v>
      </c>
      <c r="G210" s="149">
        <v>8.64</v>
      </c>
      <c r="H210" s="150">
        <f t="shared" si="4"/>
        <v>1365.12</v>
      </c>
    </row>
    <row r="211" spans="1:11" s="3" customFormat="1" ht="28.5" x14ac:dyDescent="0.25">
      <c r="A211" s="146" t="s">
        <v>734</v>
      </c>
      <c r="B211" s="147">
        <v>89530</v>
      </c>
      <c r="C211" s="147" t="s">
        <v>23</v>
      </c>
      <c r="D211" s="143" t="s">
        <v>282</v>
      </c>
      <c r="E211" s="147" t="s">
        <v>27</v>
      </c>
      <c r="F211" s="148">
        <v>40</v>
      </c>
      <c r="G211" s="149">
        <v>16.02</v>
      </c>
      <c r="H211" s="150">
        <f t="shared" si="4"/>
        <v>640.79999999999995</v>
      </c>
    </row>
    <row r="212" spans="1:11" s="3" customFormat="1" ht="28.5" x14ac:dyDescent="0.25">
      <c r="A212" s="146" t="s">
        <v>735</v>
      </c>
      <c r="B212" s="147">
        <v>89577</v>
      </c>
      <c r="C212" s="147" t="s">
        <v>23</v>
      </c>
      <c r="D212" s="143" t="s">
        <v>283</v>
      </c>
      <c r="E212" s="147" t="s">
        <v>27</v>
      </c>
      <c r="F212" s="148">
        <v>1</v>
      </c>
      <c r="G212" s="149">
        <v>35.64</v>
      </c>
      <c r="H212" s="150">
        <f t="shared" si="4"/>
        <v>35.64</v>
      </c>
    </row>
    <row r="213" spans="1:11" s="3" customFormat="1" ht="28.5" x14ac:dyDescent="0.25">
      <c r="A213" s="146" t="s">
        <v>736</v>
      </c>
      <c r="B213" s="147">
        <v>89356</v>
      </c>
      <c r="C213" s="147" t="s">
        <v>23</v>
      </c>
      <c r="D213" s="143" t="s">
        <v>284</v>
      </c>
      <c r="E213" s="147" t="s">
        <v>24</v>
      </c>
      <c r="F213" s="148">
        <v>363</v>
      </c>
      <c r="G213" s="149">
        <v>30.52</v>
      </c>
      <c r="H213" s="150">
        <f t="shared" si="4"/>
        <v>11078.76</v>
      </c>
    </row>
    <row r="214" spans="1:11" s="3" customFormat="1" ht="28.5" x14ac:dyDescent="0.25">
      <c r="A214" s="146" t="s">
        <v>737</v>
      </c>
      <c r="B214" s="147">
        <v>89448</v>
      </c>
      <c r="C214" s="147" t="s">
        <v>23</v>
      </c>
      <c r="D214" s="143" t="s">
        <v>285</v>
      </c>
      <c r="E214" s="147" t="s">
        <v>24</v>
      </c>
      <c r="F214" s="148">
        <v>0.1</v>
      </c>
      <c r="G214" s="149">
        <v>16.12</v>
      </c>
      <c r="H214" s="150">
        <f t="shared" si="4"/>
        <v>1.61</v>
      </c>
    </row>
    <row r="215" spans="1:11" s="3" customFormat="1" ht="28.5" x14ac:dyDescent="0.25">
      <c r="A215" s="146" t="s">
        <v>738</v>
      </c>
      <c r="B215" s="147">
        <v>89869</v>
      </c>
      <c r="C215" s="147" t="s">
        <v>23</v>
      </c>
      <c r="D215" s="143" t="s">
        <v>286</v>
      </c>
      <c r="E215" s="147" t="s">
        <v>27</v>
      </c>
      <c r="F215" s="148">
        <v>57</v>
      </c>
      <c r="G215" s="149">
        <v>12.65</v>
      </c>
      <c r="H215" s="150">
        <f t="shared" si="4"/>
        <v>721.05</v>
      </c>
      <c r="J215" s="46"/>
      <c r="K215" s="142"/>
    </row>
    <row r="216" spans="1:11" s="3" customFormat="1" ht="28.5" x14ac:dyDescent="0.25">
      <c r="A216" s="146" t="s">
        <v>739</v>
      </c>
      <c r="B216" s="147">
        <v>89627</v>
      </c>
      <c r="C216" s="147" t="s">
        <v>23</v>
      </c>
      <c r="D216" s="143" t="s">
        <v>287</v>
      </c>
      <c r="E216" s="147" t="s">
        <v>27</v>
      </c>
      <c r="F216" s="148">
        <v>27</v>
      </c>
      <c r="G216" s="149">
        <v>21.32</v>
      </c>
      <c r="H216" s="150">
        <f t="shared" si="4"/>
        <v>575.64</v>
      </c>
    </row>
    <row r="217" spans="1:11" s="3" customFormat="1" ht="42.75" x14ac:dyDescent="0.25">
      <c r="A217" s="146" t="s">
        <v>740</v>
      </c>
      <c r="B217" s="147">
        <v>89366</v>
      </c>
      <c r="C217" s="147" t="s">
        <v>23</v>
      </c>
      <c r="D217" s="143" t="s">
        <v>288</v>
      </c>
      <c r="E217" s="147" t="s">
        <v>27</v>
      </c>
      <c r="F217" s="148">
        <v>18</v>
      </c>
      <c r="G217" s="149">
        <v>18.32</v>
      </c>
      <c r="H217" s="150">
        <f t="shared" si="4"/>
        <v>329.76</v>
      </c>
    </row>
    <row r="218" spans="1:11" s="3" customFormat="1" ht="42.75" x14ac:dyDescent="0.25">
      <c r="A218" s="146" t="s">
        <v>741</v>
      </c>
      <c r="B218" s="147">
        <v>90373</v>
      </c>
      <c r="C218" s="147" t="s">
        <v>23</v>
      </c>
      <c r="D218" s="143" t="s">
        <v>289</v>
      </c>
      <c r="E218" s="147" t="s">
        <v>27</v>
      </c>
      <c r="F218" s="148">
        <v>71</v>
      </c>
      <c r="G218" s="149">
        <v>15</v>
      </c>
      <c r="H218" s="150">
        <f t="shared" si="4"/>
        <v>1065</v>
      </c>
    </row>
    <row r="219" spans="1:11" s="3" customFormat="1" ht="28.5" x14ac:dyDescent="0.25">
      <c r="A219" s="146" t="s">
        <v>742</v>
      </c>
      <c r="B219" s="88" t="s">
        <v>23</v>
      </c>
      <c r="C219" s="88">
        <v>37104</v>
      </c>
      <c r="D219" s="136" t="s">
        <v>836</v>
      </c>
      <c r="E219" s="103" t="s">
        <v>27</v>
      </c>
      <c r="F219" s="148">
        <v>5</v>
      </c>
      <c r="G219" s="103">
        <v>1205.48</v>
      </c>
      <c r="H219" s="150">
        <f t="shared" si="4"/>
        <v>6027.4</v>
      </c>
    </row>
    <row r="220" spans="1:11" s="3" customFormat="1" ht="28.5" x14ac:dyDescent="0.25">
      <c r="A220" s="146" t="s">
        <v>743</v>
      </c>
      <c r="B220" s="147">
        <v>94490</v>
      </c>
      <c r="C220" s="147" t="s">
        <v>23</v>
      </c>
      <c r="D220" s="143" t="s">
        <v>290</v>
      </c>
      <c r="E220" s="147" t="s">
        <v>27</v>
      </c>
      <c r="F220" s="148">
        <v>2</v>
      </c>
      <c r="G220" s="149">
        <v>51.25</v>
      </c>
      <c r="H220" s="150">
        <f t="shared" si="4"/>
        <v>102.5</v>
      </c>
    </row>
    <row r="221" spans="1:11" s="3" customFormat="1" ht="14.25" x14ac:dyDescent="0.25">
      <c r="A221" s="146" t="s">
        <v>744</v>
      </c>
      <c r="B221" s="147" t="s">
        <v>291</v>
      </c>
      <c r="C221" s="147" t="s">
        <v>95</v>
      </c>
      <c r="D221" s="143" t="s">
        <v>292</v>
      </c>
      <c r="E221" s="147" t="s">
        <v>196</v>
      </c>
      <c r="F221" s="148">
        <v>1</v>
      </c>
      <c r="G221" s="149">
        <v>115.07</v>
      </c>
      <c r="H221" s="150">
        <f t="shared" si="4"/>
        <v>115.07</v>
      </c>
    </row>
    <row r="222" spans="1:11" s="3" customFormat="1" ht="42.75" x14ac:dyDescent="0.25">
      <c r="A222" s="146" t="s">
        <v>745</v>
      </c>
      <c r="B222" s="147">
        <v>89436</v>
      </c>
      <c r="C222" s="147" t="s">
        <v>23</v>
      </c>
      <c r="D222" s="143" t="s">
        <v>293</v>
      </c>
      <c r="E222" s="147" t="s">
        <v>27</v>
      </c>
      <c r="F222" s="148">
        <v>2</v>
      </c>
      <c r="G222" s="149">
        <v>9.69</v>
      </c>
      <c r="H222" s="150">
        <f t="shared" si="4"/>
        <v>19.38</v>
      </c>
    </row>
    <row r="223" spans="1:11" s="3" customFormat="1" ht="28.5" x14ac:dyDescent="0.25">
      <c r="A223" s="146" t="s">
        <v>746</v>
      </c>
      <c r="B223" s="147">
        <v>103948</v>
      </c>
      <c r="C223" s="147" t="s">
        <v>23</v>
      </c>
      <c r="D223" s="143" t="s">
        <v>294</v>
      </c>
      <c r="E223" s="147" t="s">
        <v>27</v>
      </c>
      <c r="F223" s="148">
        <v>1</v>
      </c>
      <c r="G223" s="149">
        <v>9.6999999999999993</v>
      </c>
      <c r="H223" s="150">
        <f t="shared" si="4"/>
        <v>9.6999999999999993</v>
      </c>
    </row>
    <row r="224" spans="1:11" s="3" customFormat="1" ht="28.5" x14ac:dyDescent="0.25">
      <c r="A224" s="146" t="s">
        <v>747</v>
      </c>
      <c r="B224" s="147">
        <v>89415</v>
      </c>
      <c r="C224" s="147" t="s">
        <v>23</v>
      </c>
      <c r="D224" s="143" t="s">
        <v>295</v>
      </c>
      <c r="E224" s="147" t="s">
        <v>27</v>
      </c>
      <c r="F224" s="148">
        <v>5</v>
      </c>
      <c r="G224" s="149">
        <v>18.649999999999999</v>
      </c>
      <c r="H224" s="150">
        <f t="shared" si="4"/>
        <v>93.25</v>
      </c>
    </row>
    <row r="225" spans="1:10" s="3" customFormat="1" ht="28.5" x14ac:dyDescent="0.25">
      <c r="A225" s="146" t="s">
        <v>748</v>
      </c>
      <c r="B225" s="147">
        <v>104319</v>
      </c>
      <c r="C225" s="147" t="s">
        <v>23</v>
      </c>
      <c r="D225" s="143" t="s">
        <v>296</v>
      </c>
      <c r="E225" s="147" t="s">
        <v>27</v>
      </c>
      <c r="F225" s="148">
        <v>2</v>
      </c>
      <c r="G225" s="149">
        <v>11.69</v>
      </c>
      <c r="H225" s="150">
        <f t="shared" si="4"/>
        <v>23.38</v>
      </c>
    </row>
    <row r="226" spans="1:10" s="3" customFormat="1" ht="28.5" x14ac:dyDescent="0.25">
      <c r="A226" s="146" t="s">
        <v>749</v>
      </c>
      <c r="B226" s="147">
        <v>89357</v>
      </c>
      <c r="C226" s="147" t="s">
        <v>23</v>
      </c>
      <c r="D226" s="143" t="s">
        <v>297</v>
      </c>
      <c r="E226" s="147" t="s">
        <v>24</v>
      </c>
      <c r="F226" s="148">
        <v>15.5</v>
      </c>
      <c r="G226" s="149">
        <v>40.44</v>
      </c>
      <c r="H226" s="150">
        <f t="shared" si="4"/>
        <v>626.82000000000005</v>
      </c>
    </row>
    <row r="227" spans="1:10" s="3" customFormat="1" ht="28.5" x14ac:dyDescent="0.25">
      <c r="A227" s="146" t="s">
        <v>750</v>
      </c>
      <c r="B227" s="147">
        <v>89400</v>
      </c>
      <c r="C227" s="147" t="s">
        <v>23</v>
      </c>
      <c r="D227" s="143" t="s">
        <v>298</v>
      </c>
      <c r="E227" s="147" t="s">
        <v>27</v>
      </c>
      <c r="F227" s="148">
        <v>1</v>
      </c>
      <c r="G227" s="149">
        <v>23.43</v>
      </c>
      <c r="H227" s="150">
        <f t="shared" si="4"/>
        <v>23.43</v>
      </c>
    </row>
    <row r="228" spans="1:10" s="3" customFormat="1" ht="28.5" x14ac:dyDescent="0.25">
      <c r="A228" s="146" t="s">
        <v>751</v>
      </c>
      <c r="B228" s="108" t="s">
        <v>23</v>
      </c>
      <c r="C228" s="108">
        <v>37105</v>
      </c>
      <c r="D228" s="137" t="s">
        <v>837</v>
      </c>
      <c r="E228" s="110" t="s">
        <v>27</v>
      </c>
      <c r="F228" s="108">
        <v>1</v>
      </c>
      <c r="G228" s="110">
        <v>2754.98</v>
      </c>
      <c r="H228" s="150">
        <f t="shared" si="4"/>
        <v>2754.98</v>
      </c>
    </row>
    <row r="229" spans="1:10" s="3" customFormat="1" ht="15" x14ac:dyDescent="0.25">
      <c r="A229" s="98" t="s">
        <v>579</v>
      </c>
      <c r="B229" s="112"/>
      <c r="C229" s="100"/>
      <c r="D229" s="99" t="s">
        <v>299</v>
      </c>
      <c r="E229" s="101"/>
      <c r="F229" s="100"/>
      <c r="G229" s="101"/>
      <c r="H229" s="102"/>
    </row>
    <row r="230" spans="1:10" s="3" customFormat="1" ht="42.75" x14ac:dyDescent="0.25">
      <c r="A230" s="146" t="s">
        <v>580</v>
      </c>
      <c r="B230" s="147">
        <v>97903</v>
      </c>
      <c r="C230" s="147" t="s">
        <v>23</v>
      </c>
      <c r="D230" s="143" t="s">
        <v>300</v>
      </c>
      <c r="E230" s="147" t="s">
        <v>27</v>
      </c>
      <c r="F230" s="148">
        <v>6</v>
      </c>
      <c r="G230" s="149">
        <v>846.17</v>
      </c>
      <c r="H230" s="150">
        <f t="shared" si="4"/>
        <v>5077.0200000000004</v>
      </c>
    </row>
    <row r="231" spans="1:10" s="3" customFormat="1" ht="28.5" x14ac:dyDescent="0.25">
      <c r="A231" s="146" t="s">
        <v>752</v>
      </c>
      <c r="B231" s="147">
        <v>41628</v>
      </c>
      <c r="C231" s="147" t="s">
        <v>23</v>
      </c>
      <c r="D231" s="143" t="s">
        <v>810</v>
      </c>
      <c r="E231" s="147" t="s">
        <v>196</v>
      </c>
      <c r="F231" s="148">
        <v>6</v>
      </c>
      <c r="G231" s="149">
        <v>348.57</v>
      </c>
      <c r="H231" s="150">
        <f t="shared" si="4"/>
        <v>2091.42</v>
      </c>
      <c r="J231" s="46"/>
    </row>
    <row r="232" spans="1:10" s="3" customFormat="1" ht="14.25" x14ac:dyDescent="0.25">
      <c r="A232" s="146" t="s">
        <v>753</v>
      </c>
      <c r="B232" s="147" t="s">
        <v>301</v>
      </c>
      <c r="C232" s="147" t="s">
        <v>95</v>
      </c>
      <c r="D232" s="143" t="s">
        <v>302</v>
      </c>
      <c r="E232" s="147" t="s">
        <v>27</v>
      </c>
      <c r="F232" s="148">
        <v>8</v>
      </c>
      <c r="G232" s="149">
        <v>91.91</v>
      </c>
      <c r="H232" s="150">
        <f t="shared" si="4"/>
        <v>735.28</v>
      </c>
      <c r="J232" s="46"/>
    </row>
    <row r="233" spans="1:10" s="3" customFormat="1" ht="42.75" x14ac:dyDescent="0.25">
      <c r="A233" s="146" t="s">
        <v>754</v>
      </c>
      <c r="B233" s="147">
        <v>104328</v>
      </c>
      <c r="C233" s="147" t="s">
        <v>23</v>
      </c>
      <c r="D233" s="143" t="s">
        <v>303</v>
      </c>
      <c r="E233" s="147" t="s">
        <v>27</v>
      </c>
      <c r="F233" s="148">
        <v>26</v>
      </c>
      <c r="G233" s="149">
        <v>78.56</v>
      </c>
      <c r="H233" s="150">
        <f t="shared" si="4"/>
        <v>2042.56</v>
      </c>
      <c r="J233" s="46"/>
    </row>
    <row r="234" spans="1:10" s="3" customFormat="1" ht="42.75" x14ac:dyDescent="0.25">
      <c r="A234" s="146" t="s">
        <v>755</v>
      </c>
      <c r="B234" s="147">
        <v>89708</v>
      </c>
      <c r="C234" s="147" t="s">
        <v>23</v>
      </c>
      <c r="D234" s="143" t="s">
        <v>304</v>
      </c>
      <c r="E234" s="147" t="s">
        <v>27</v>
      </c>
      <c r="F234" s="148">
        <v>4</v>
      </c>
      <c r="G234" s="149">
        <v>112.22</v>
      </c>
      <c r="H234" s="150">
        <f t="shared" si="4"/>
        <v>448.88</v>
      </c>
      <c r="J234" s="46"/>
    </row>
    <row r="235" spans="1:10" s="3" customFormat="1" ht="42.75" x14ac:dyDescent="0.25">
      <c r="A235" s="146" t="s">
        <v>756</v>
      </c>
      <c r="B235" s="147">
        <v>89709</v>
      </c>
      <c r="C235" s="147" t="s">
        <v>23</v>
      </c>
      <c r="D235" s="143" t="s">
        <v>305</v>
      </c>
      <c r="E235" s="147" t="s">
        <v>27</v>
      </c>
      <c r="F235" s="148">
        <v>8</v>
      </c>
      <c r="G235" s="149">
        <v>24.24</v>
      </c>
      <c r="H235" s="150">
        <f t="shared" si="4"/>
        <v>193.92</v>
      </c>
      <c r="J235" s="46"/>
    </row>
    <row r="236" spans="1:10" s="3" customFormat="1" ht="28.5" x14ac:dyDescent="0.25">
      <c r="A236" s="146" t="s">
        <v>757</v>
      </c>
      <c r="B236" s="147">
        <v>86883</v>
      </c>
      <c r="C236" s="147" t="s">
        <v>23</v>
      </c>
      <c r="D236" s="143" t="s">
        <v>306</v>
      </c>
      <c r="E236" s="147" t="s">
        <v>27</v>
      </c>
      <c r="F236" s="148">
        <v>53</v>
      </c>
      <c r="G236" s="149">
        <v>15.4</v>
      </c>
      <c r="H236" s="150">
        <f t="shared" si="4"/>
        <v>816.2</v>
      </c>
    </row>
    <row r="237" spans="1:10" s="3" customFormat="1" ht="28.5" x14ac:dyDescent="0.25">
      <c r="A237" s="146" t="s">
        <v>758</v>
      </c>
      <c r="B237" s="147">
        <v>86882</v>
      </c>
      <c r="C237" s="147" t="s">
        <v>23</v>
      </c>
      <c r="D237" s="143" t="s">
        <v>307</v>
      </c>
      <c r="E237" s="147" t="s">
        <v>27</v>
      </c>
      <c r="F237" s="148">
        <v>3</v>
      </c>
      <c r="G237" s="149">
        <v>28.31</v>
      </c>
      <c r="H237" s="150">
        <f t="shared" si="4"/>
        <v>84.93</v>
      </c>
      <c r="J237" s="46"/>
    </row>
    <row r="238" spans="1:10" s="3" customFormat="1" ht="14.25" x14ac:dyDescent="0.25">
      <c r="A238" s="146" t="s">
        <v>759</v>
      </c>
      <c r="B238" s="147" t="s">
        <v>308</v>
      </c>
      <c r="C238" s="147" t="s">
        <v>95</v>
      </c>
      <c r="D238" s="143" t="s">
        <v>309</v>
      </c>
      <c r="E238" s="147" t="s">
        <v>27</v>
      </c>
      <c r="F238" s="148">
        <v>2</v>
      </c>
      <c r="G238" s="149">
        <v>32.020000000000003</v>
      </c>
      <c r="H238" s="150">
        <f t="shared" si="4"/>
        <v>64.040000000000006</v>
      </c>
    </row>
    <row r="239" spans="1:10" s="3" customFormat="1" ht="28.5" x14ac:dyDescent="0.25">
      <c r="A239" s="146" t="s">
        <v>760</v>
      </c>
      <c r="B239" s="147">
        <v>86879</v>
      </c>
      <c r="C239" s="147" t="s">
        <v>23</v>
      </c>
      <c r="D239" s="143" t="s">
        <v>310</v>
      </c>
      <c r="E239" s="147" t="s">
        <v>27</v>
      </c>
      <c r="F239" s="148">
        <v>56</v>
      </c>
      <c r="G239" s="149">
        <v>12.54</v>
      </c>
      <c r="H239" s="150">
        <f t="shared" si="4"/>
        <v>702.24</v>
      </c>
    </row>
    <row r="240" spans="1:10" s="141" customFormat="1" ht="28.5" x14ac:dyDescent="0.25">
      <c r="A240" s="146" t="s">
        <v>761</v>
      </c>
      <c r="B240" s="147">
        <v>104063</v>
      </c>
      <c r="C240" s="147" t="s">
        <v>23</v>
      </c>
      <c r="D240" s="143" t="s">
        <v>311</v>
      </c>
      <c r="E240" s="147" t="s">
        <v>27</v>
      </c>
      <c r="F240" s="148">
        <v>18</v>
      </c>
      <c r="G240" s="149">
        <v>73.900000000000006</v>
      </c>
      <c r="H240" s="150">
        <f t="shared" si="4"/>
        <v>1330.2</v>
      </c>
    </row>
    <row r="241" spans="1:8" s="3" customFormat="1" ht="42.75" x14ac:dyDescent="0.25">
      <c r="A241" s="146" t="s">
        <v>762</v>
      </c>
      <c r="B241" s="147">
        <v>89811</v>
      </c>
      <c r="C241" s="147" t="s">
        <v>23</v>
      </c>
      <c r="D241" s="143" t="s">
        <v>312</v>
      </c>
      <c r="E241" s="147" t="s">
        <v>27</v>
      </c>
      <c r="F241" s="148">
        <v>13</v>
      </c>
      <c r="G241" s="149">
        <v>48.81</v>
      </c>
      <c r="H241" s="150">
        <f t="shared" si="4"/>
        <v>634.53</v>
      </c>
    </row>
    <row r="242" spans="1:8" s="3" customFormat="1" ht="42.75" x14ac:dyDescent="0.25">
      <c r="A242" s="146" t="s">
        <v>763</v>
      </c>
      <c r="B242" s="147">
        <v>89728</v>
      </c>
      <c r="C242" s="147" t="s">
        <v>23</v>
      </c>
      <c r="D242" s="143" t="s">
        <v>313</v>
      </c>
      <c r="E242" s="147" t="s">
        <v>27</v>
      </c>
      <c r="F242" s="148">
        <v>93</v>
      </c>
      <c r="G242" s="149">
        <v>15.76</v>
      </c>
      <c r="H242" s="150">
        <f t="shared" si="4"/>
        <v>1465.68</v>
      </c>
    </row>
    <row r="243" spans="1:8" s="3" customFormat="1" ht="42.75" x14ac:dyDescent="0.25">
      <c r="A243" s="146" t="s">
        <v>764</v>
      </c>
      <c r="B243" s="147">
        <v>89746</v>
      </c>
      <c r="C243" s="147" t="s">
        <v>23</v>
      </c>
      <c r="D243" s="143" t="s">
        <v>314</v>
      </c>
      <c r="E243" s="147" t="s">
        <v>27</v>
      </c>
      <c r="F243" s="148">
        <v>1</v>
      </c>
      <c r="G243" s="149">
        <v>31.57</v>
      </c>
      <c r="H243" s="150">
        <f t="shared" si="4"/>
        <v>31.57</v>
      </c>
    </row>
    <row r="244" spans="1:8" s="141" customFormat="1" ht="42.75" x14ac:dyDescent="0.25">
      <c r="A244" s="146" t="s">
        <v>765</v>
      </c>
      <c r="B244" s="147">
        <v>89726</v>
      </c>
      <c r="C244" s="147" t="s">
        <v>23</v>
      </c>
      <c r="D244" s="143" t="s">
        <v>315</v>
      </c>
      <c r="E244" s="147" t="s">
        <v>27</v>
      </c>
      <c r="F244" s="148">
        <v>44</v>
      </c>
      <c r="G244" s="149">
        <v>12.82</v>
      </c>
      <c r="H244" s="150">
        <f t="shared" si="4"/>
        <v>564.08000000000004</v>
      </c>
    </row>
    <row r="245" spans="1:8" s="3" customFormat="1" ht="42.75" x14ac:dyDescent="0.25">
      <c r="A245" s="146" t="s">
        <v>766</v>
      </c>
      <c r="B245" s="147">
        <v>89732</v>
      </c>
      <c r="C245" s="147" t="s">
        <v>23</v>
      </c>
      <c r="D245" s="143" t="s">
        <v>261</v>
      </c>
      <c r="E245" s="147" t="s">
        <v>27</v>
      </c>
      <c r="F245" s="148">
        <v>37</v>
      </c>
      <c r="G245" s="149">
        <v>17.96</v>
      </c>
      <c r="H245" s="150">
        <f t="shared" si="4"/>
        <v>664.52</v>
      </c>
    </row>
    <row r="246" spans="1:8" s="3" customFormat="1" ht="42.75" x14ac:dyDescent="0.25">
      <c r="A246" s="146" t="s">
        <v>767</v>
      </c>
      <c r="B246" s="147">
        <v>89739</v>
      </c>
      <c r="C246" s="147" t="s">
        <v>23</v>
      </c>
      <c r="D246" s="143" t="s">
        <v>316</v>
      </c>
      <c r="E246" s="147" t="s">
        <v>27</v>
      </c>
      <c r="F246" s="148">
        <v>5</v>
      </c>
      <c r="G246" s="149">
        <v>26.46</v>
      </c>
      <c r="H246" s="150">
        <f t="shared" si="4"/>
        <v>132.30000000000001</v>
      </c>
    </row>
    <row r="247" spans="1:8" s="141" customFormat="1" ht="42.75" x14ac:dyDescent="0.25">
      <c r="A247" s="146" t="s">
        <v>768</v>
      </c>
      <c r="B247" s="147">
        <v>89724</v>
      </c>
      <c r="C247" s="147" t="s">
        <v>23</v>
      </c>
      <c r="D247" s="143" t="s">
        <v>317</v>
      </c>
      <c r="E247" s="147" t="s">
        <v>27</v>
      </c>
      <c r="F247" s="148">
        <v>57</v>
      </c>
      <c r="G247" s="149">
        <v>12.56</v>
      </c>
      <c r="H247" s="150">
        <f t="shared" si="4"/>
        <v>715.92</v>
      </c>
    </row>
    <row r="248" spans="1:8" s="3" customFormat="1" ht="42.75" x14ac:dyDescent="0.25">
      <c r="A248" s="146" t="s">
        <v>769</v>
      </c>
      <c r="B248" s="147">
        <v>89731</v>
      </c>
      <c r="C248" s="147" t="s">
        <v>23</v>
      </c>
      <c r="D248" s="143" t="s">
        <v>262</v>
      </c>
      <c r="E248" s="147" t="s">
        <v>27</v>
      </c>
      <c r="F248" s="148">
        <v>4</v>
      </c>
      <c r="G248" s="149">
        <v>17.16</v>
      </c>
      <c r="H248" s="150">
        <f t="shared" si="4"/>
        <v>68.64</v>
      </c>
    </row>
    <row r="249" spans="1:8" s="3" customFormat="1" ht="42.75" x14ac:dyDescent="0.25">
      <c r="A249" s="146" t="s">
        <v>770</v>
      </c>
      <c r="B249" s="147">
        <v>104345</v>
      </c>
      <c r="C249" s="147" t="s">
        <v>23</v>
      </c>
      <c r="D249" s="143" t="s">
        <v>318</v>
      </c>
      <c r="E249" s="147" t="s">
        <v>27</v>
      </c>
      <c r="F249" s="148">
        <v>20</v>
      </c>
      <c r="G249" s="149">
        <v>47.38</v>
      </c>
      <c r="H249" s="150">
        <f t="shared" si="4"/>
        <v>947.6</v>
      </c>
    </row>
    <row r="250" spans="1:8" s="3" customFormat="1" ht="42.75" x14ac:dyDescent="0.25">
      <c r="A250" s="146" t="s">
        <v>771</v>
      </c>
      <c r="B250" s="147">
        <v>104347</v>
      </c>
      <c r="C250" s="147" t="s">
        <v>23</v>
      </c>
      <c r="D250" s="143" t="s">
        <v>319</v>
      </c>
      <c r="E250" s="147" t="s">
        <v>27</v>
      </c>
      <c r="F250" s="148">
        <v>1</v>
      </c>
      <c r="G250" s="149">
        <v>52.67</v>
      </c>
      <c r="H250" s="150">
        <f t="shared" ref="H250:H301" si="5">G250*F250</f>
        <v>52.67</v>
      </c>
    </row>
    <row r="251" spans="1:8" s="3" customFormat="1" ht="42.75" x14ac:dyDescent="0.25">
      <c r="A251" s="146" t="s">
        <v>772</v>
      </c>
      <c r="B251" s="147">
        <v>89797</v>
      </c>
      <c r="C251" s="147" t="s">
        <v>23</v>
      </c>
      <c r="D251" s="143" t="s">
        <v>320</v>
      </c>
      <c r="E251" s="147" t="s">
        <v>27</v>
      </c>
      <c r="F251" s="148">
        <v>4</v>
      </c>
      <c r="G251" s="149">
        <v>56.47</v>
      </c>
      <c r="H251" s="150">
        <f t="shared" si="5"/>
        <v>225.88</v>
      </c>
    </row>
    <row r="252" spans="1:8" s="3" customFormat="1" ht="42.75" x14ac:dyDescent="0.25">
      <c r="A252" s="146" t="s">
        <v>773</v>
      </c>
      <c r="B252" s="147">
        <v>104174</v>
      </c>
      <c r="C252" s="147" t="s">
        <v>23</v>
      </c>
      <c r="D252" s="143" t="s">
        <v>321</v>
      </c>
      <c r="E252" s="147" t="s">
        <v>27</v>
      </c>
      <c r="F252" s="148">
        <v>1</v>
      </c>
      <c r="G252" s="149">
        <v>200.05</v>
      </c>
      <c r="H252" s="150">
        <f t="shared" si="5"/>
        <v>200.05</v>
      </c>
    </row>
    <row r="253" spans="1:8" s="3" customFormat="1" ht="42.75" x14ac:dyDescent="0.25">
      <c r="A253" s="146" t="s">
        <v>774</v>
      </c>
      <c r="B253" s="147">
        <v>89783</v>
      </c>
      <c r="C253" s="147" t="s">
        <v>23</v>
      </c>
      <c r="D253" s="143" t="s">
        <v>322</v>
      </c>
      <c r="E253" s="147" t="s">
        <v>27</v>
      </c>
      <c r="F253" s="148">
        <v>18</v>
      </c>
      <c r="G253" s="149">
        <v>18.05</v>
      </c>
      <c r="H253" s="150">
        <f t="shared" si="5"/>
        <v>324.89999999999998</v>
      </c>
    </row>
    <row r="254" spans="1:8" s="3" customFormat="1" ht="42.75" x14ac:dyDescent="0.25">
      <c r="A254" s="146" t="s">
        <v>775</v>
      </c>
      <c r="B254" s="147">
        <v>89785</v>
      </c>
      <c r="C254" s="147" t="s">
        <v>23</v>
      </c>
      <c r="D254" s="143" t="s">
        <v>323</v>
      </c>
      <c r="E254" s="147" t="s">
        <v>27</v>
      </c>
      <c r="F254" s="148">
        <v>2</v>
      </c>
      <c r="G254" s="149">
        <v>29.96</v>
      </c>
      <c r="H254" s="150">
        <f t="shared" si="5"/>
        <v>59.92</v>
      </c>
    </row>
    <row r="255" spans="1:8" s="3" customFormat="1" ht="42.75" x14ac:dyDescent="0.25">
      <c r="A255" s="146" t="s">
        <v>776</v>
      </c>
      <c r="B255" s="147">
        <v>89795</v>
      </c>
      <c r="C255" s="147" t="s">
        <v>23</v>
      </c>
      <c r="D255" s="143" t="s">
        <v>324</v>
      </c>
      <c r="E255" s="147" t="s">
        <v>27</v>
      </c>
      <c r="F255" s="148">
        <v>1</v>
      </c>
      <c r="G255" s="149">
        <v>45.24</v>
      </c>
      <c r="H255" s="150">
        <f t="shared" si="5"/>
        <v>45.24</v>
      </c>
    </row>
    <row r="256" spans="1:8" s="3" customFormat="1" ht="42.75" x14ac:dyDescent="0.25">
      <c r="A256" s="146" t="s">
        <v>777</v>
      </c>
      <c r="B256" s="147">
        <v>89557</v>
      </c>
      <c r="C256" s="147" t="s">
        <v>23</v>
      </c>
      <c r="D256" s="143" t="s">
        <v>325</v>
      </c>
      <c r="E256" s="147" t="s">
        <v>27</v>
      </c>
      <c r="F256" s="148">
        <v>1</v>
      </c>
      <c r="G256" s="149">
        <v>33.36</v>
      </c>
      <c r="H256" s="150">
        <f t="shared" si="5"/>
        <v>33.36</v>
      </c>
    </row>
    <row r="257" spans="1:8" s="3" customFormat="1" ht="42.75" x14ac:dyDescent="0.25">
      <c r="A257" s="146" t="s">
        <v>778</v>
      </c>
      <c r="B257" s="147">
        <v>89549</v>
      </c>
      <c r="C257" s="147" t="s">
        <v>23</v>
      </c>
      <c r="D257" s="143" t="s">
        <v>326</v>
      </c>
      <c r="E257" s="147" t="s">
        <v>27</v>
      </c>
      <c r="F257" s="148">
        <v>1</v>
      </c>
      <c r="G257" s="149">
        <v>19.850000000000001</v>
      </c>
      <c r="H257" s="150">
        <f t="shared" si="5"/>
        <v>19.850000000000001</v>
      </c>
    </row>
    <row r="258" spans="1:8" s="3" customFormat="1" ht="28.5" x14ac:dyDescent="0.25">
      <c r="A258" s="146" t="s">
        <v>779</v>
      </c>
      <c r="B258" s="147" t="s">
        <v>327</v>
      </c>
      <c r="C258" s="147" t="s">
        <v>95</v>
      </c>
      <c r="D258" s="143" t="s">
        <v>328</v>
      </c>
      <c r="E258" s="147" t="s">
        <v>88</v>
      </c>
      <c r="F258" s="148">
        <v>139</v>
      </c>
      <c r="G258" s="149">
        <v>100.91</v>
      </c>
      <c r="H258" s="150">
        <f t="shared" si="5"/>
        <v>14026.49</v>
      </c>
    </row>
    <row r="259" spans="1:8" s="3" customFormat="1" ht="28.5" x14ac:dyDescent="0.25">
      <c r="A259" s="146" t="s">
        <v>780</v>
      </c>
      <c r="B259" s="147" t="s">
        <v>329</v>
      </c>
      <c r="C259" s="147" t="s">
        <v>95</v>
      </c>
      <c r="D259" s="143" t="s">
        <v>330</v>
      </c>
      <c r="E259" s="147" t="s">
        <v>88</v>
      </c>
      <c r="F259" s="148">
        <v>14.2</v>
      </c>
      <c r="G259" s="149">
        <v>154.06</v>
      </c>
      <c r="H259" s="150">
        <f t="shared" si="5"/>
        <v>2187.65</v>
      </c>
    </row>
    <row r="260" spans="1:8" s="3" customFormat="1" ht="28.5" x14ac:dyDescent="0.25">
      <c r="A260" s="146" t="s">
        <v>781</v>
      </c>
      <c r="B260" s="147" t="s">
        <v>331</v>
      </c>
      <c r="C260" s="147" t="s">
        <v>95</v>
      </c>
      <c r="D260" s="143" t="s">
        <v>332</v>
      </c>
      <c r="E260" s="147" t="s">
        <v>88</v>
      </c>
      <c r="F260" s="148">
        <v>78.2</v>
      </c>
      <c r="G260" s="149">
        <v>47.53</v>
      </c>
      <c r="H260" s="150">
        <f t="shared" si="5"/>
        <v>3716.85</v>
      </c>
    </row>
    <row r="261" spans="1:8" s="3" customFormat="1" ht="28.5" x14ac:dyDescent="0.25">
      <c r="A261" s="146" t="s">
        <v>782</v>
      </c>
      <c r="B261" s="147" t="s">
        <v>333</v>
      </c>
      <c r="C261" s="147" t="s">
        <v>95</v>
      </c>
      <c r="D261" s="143" t="s">
        <v>334</v>
      </c>
      <c r="E261" s="147" t="s">
        <v>88</v>
      </c>
      <c r="F261" s="148">
        <v>13.9</v>
      </c>
      <c r="G261" s="149">
        <v>77.94</v>
      </c>
      <c r="H261" s="150">
        <f t="shared" si="5"/>
        <v>1083.3699999999999</v>
      </c>
    </row>
    <row r="262" spans="1:8" s="3" customFormat="1" ht="28.5" x14ac:dyDescent="0.25">
      <c r="A262" s="146" t="s">
        <v>783</v>
      </c>
      <c r="B262" s="147" t="s">
        <v>335</v>
      </c>
      <c r="C262" s="147" t="s">
        <v>95</v>
      </c>
      <c r="D262" s="143" t="s">
        <v>336</v>
      </c>
      <c r="E262" s="147" t="s">
        <v>88</v>
      </c>
      <c r="F262" s="148">
        <v>86.8</v>
      </c>
      <c r="G262" s="149">
        <v>44.3</v>
      </c>
      <c r="H262" s="150">
        <f t="shared" si="5"/>
        <v>3845.24</v>
      </c>
    </row>
    <row r="263" spans="1:8" s="3" customFormat="1" ht="28.5" x14ac:dyDescent="0.25">
      <c r="A263" s="146" t="s">
        <v>784</v>
      </c>
      <c r="B263" s="147" t="s">
        <v>337</v>
      </c>
      <c r="C263" s="147" t="s">
        <v>95</v>
      </c>
      <c r="D263" s="143" t="s">
        <v>338</v>
      </c>
      <c r="E263" s="147" t="s">
        <v>88</v>
      </c>
      <c r="F263" s="148">
        <v>34.200000000000003</v>
      </c>
      <c r="G263" s="149">
        <v>34.200000000000003</v>
      </c>
      <c r="H263" s="150">
        <f t="shared" si="5"/>
        <v>1169.6400000000001</v>
      </c>
    </row>
    <row r="264" spans="1:8" s="3" customFormat="1" ht="28.5" x14ac:dyDescent="0.25">
      <c r="A264" s="146" t="s">
        <v>785</v>
      </c>
      <c r="B264" s="147" t="s">
        <v>264</v>
      </c>
      <c r="C264" s="147" t="s">
        <v>95</v>
      </c>
      <c r="D264" s="143" t="s">
        <v>265</v>
      </c>
      <c r="E264" s="147" t="s">
        <v>88</v>
      </c>
      <c r="F264" s="148">
        <v>1.5</v>
      </c>
      <c r="G264" s="149">
        <v>40.130000000000003</v>
      </c>
      <c r="H264" s="150">
        <f t="shared" si="5"/>
        <v>60.2</v>
      </c>
    </row>
    <row r="265" spans="1:8" s="3" customFormat="1" ht="14.25" x14ac:dyDescent="0.25">
      <c r="A265" s="146" t="s">
        <v>786</v>
      </c>
      <c r="B265" s="147" t="s">
        <v>339</v>
      </c>
      <c r="C265" s="147" t="s">
        <v>95</v>
      </c>
      <c r="D265" s="143" t="s">
        <v>340</v>
      </c>
      <c r="E265" s="147" t="s">
        <v>196</v>
      </c>
      <c r="F265" s="148">
        <v>13</v>
      </c>
      <c r="G265" s="149">
        <v>15.7</v>
      </c>
      <c r="H265" s="150">
        <f t="shared" si="5"/>
        <v>204.1</v>
      </c>
    </row>
    <row r="266" spans="1:8" s="3" customFormat="1" ht="28.5" x14ac:dyDescent="0.25">
      <c r="A266" s="146" t="s">
        <v>787</v>
      </c>
      <c r="B266" s="147">
        <v>89373</v>
      </c>
      <c r="C266" s="147" t="s">
        <v>23</v>
      </c>
      <c r="D266" s="143" t="s">
        <v>276</v>
      </c>
      <c r="E266" s="147" t="s">
        <v>27</v>
      </c>
      <c r="F266" s="148">
        <v>27</v>
      </c>
      <c r="G266" s="149">
        <v>8.68</v>
      </c>
      <c r="H266" s="150">
        <f t="shared" si="5"/>
        <v>234.36</v>
      </c>
    </row>
    <row r="267" spans="1:8" s="3" customFormat="1" ht="28.5" x14ac:dyDescent="0.25">
      <c r="A267" s="146" t="s">
        <v>788</v>
      </c>
      <c r="B267" s="147">
        <v>104014</v>
      </c>
      <c r="C267" s="147" t="s">
        <v>23</v>
      </c>
      <c r="D267" s="143" t="s">
        <v>341</v>
      </c>
      <c r="E267" s="147" t="s">
        <v>27</v>
      </c>
      <c r="F267" s="148">
        <v>27</v>
      </c>
      <c r="G267" s="149">
        <v>12.33</v>
      </c>
      <c r="H267" s="150">
        <f t="shared" si="5"/>
        <v>332.91</v>
      </c>
    </row>
    <row r="268" spans="1:8" s="3" customFormat="1" ht="28.5" x14ac:dyDescent="0.25">
      <c r="A268" s="146" t="s">
        <v>789</v>
      </c>
      <c r="B268" s="147">
        <v>89384</v>
      </c>
      <c r="C268" s="147" t="s">
        <v>23</v>
      </c>
      <c r="D268" s="143" t="s">
        <v>342</v>
      </c>
      <c r="E268" s="147" t="s">
        <v>27</v>
      </c>
      <c r="F268" s="148">
        <v>27</v>
      </c>
      <c r="G268" s="149">
        <v>14.37</v>
      </c>
      <c r="H268" s="150">
        <f t="shared" si="5"/>
        <v>387.99</v>
      </c>
    </row>
    <row r="269" spans="1:8" s="3" customFormat="1" ht="28.5" x14ac:dyDescent="0.25">
      <c r="A269" s="146" t="s">
        <v>790</v>
      </c>
      <c r="B269" s="147">
        <v>89408</v>
      </c>
      <c r="C269" s="147" t="s">
        <v>23</v>
      </c>
      <c r="D269" s="143" t="s">
        <v>343</v>
      </c>
      <c r="E269" s="147" t="s">
        <v>27</v>
      </c>
      <c r="F269" s="148">
        <v>54</v>
      </c>
      <c r="G269" s="149">
        <v>11.01</v>
      </c>
      <c r="H269" s="150">
        <f t="shared" si="5"/>
        <v>594.54</v>
      </c>
    </row>
    <row r="270" spans="1:8" s="3" customFormat="1" ht="28.5" x14ac:dyDescent="0.25">
      <c r="A270" s="146" t="s">
        <v>791</v>
      </c>
      <c r="B270" s="147">
        <v>89356</v>
      </c>
      <c r="C270" s="147" t="s">
        <v>23</v>
      </c>
      <c r="D270" s="143" t="s">
        <v>284</v>
      </c>
      <c r="E270" s="147" t="s">
        <v>24</v>
      </c>
      <c r="F270" s="148">
        <v>162</v>
      </c>
      <c r="G270" s="149">
        <v>30.52</v>
      </c>
      <c r="H270" s="150">
        <f t="shared" si="5"/>
        <v>4944.24</v>
      </c>
    </row>
    <row r="271" spans="1:8" s="3" customFormat="1" ht="42.75" x14ac:dyDescent="0.25">
      <c r="A271" s="146" t="s">
        <v>792</v>
      </c>
      <c r="B271" s="147">
        <v>94962</v>
      </c>
      <c r="C271" s="147" t="s">
        <v>23</v>
      </c>
      <c r="D271" s="143" t="s">
        <v>344</v>
      </c>
      <c r="E271" s="147" t="s">
        <v>111</v>
      </c>
      <c r="F271" s="148">
        <v>0.1</v>
      </c>
      <c r="G271" s="149">
        <v>348.71</v>
      </c>
      <c r="H271" s="150">
        <f t="shared" si="5"/>
        <v>34.869999999999997</v>
      </c>
    </row>
    <row r="272" spans="1:8" s="3" customFormat="1" ht="15" x14ac:dyDescent="0.25">
      <c r="A272" s="98" t="s">
        <v>581</v>
      </c>
      <c r="B272" s="112"/>
      <c r="C272" s="100"/>
      <c r="D272" s="99" t="s">
        <v>345</v>
      </c>
      <c r="E272" s="101"/>
      <c r="F272" s="100"/>
      <c r="G272" s="101"/>
      <c r="H272" s="102"/>
    </row>
    <row r="273" spans="1:8" s="3" customFormat="1" ht="42.75" x14ac:dyDescent="0.25">
      <c r="A273" s="146" t="s">
        <v>582</v>
      </c>
      <c r="B273" s="147">
        <v>97961</v>
      </c>
      <c r="C273" s="147" t="s">
        <v>23</v>
      </c>
      <c r="D273" s="143" t="s">
        <v>346</v>
      </c>
      <c r="E273" s="147" t="s">
        <v>27</v>
      </c>
      <c r="F273" s="148">
        <v>7</v>
      </c>
      <c r="G273" s="149">
        <v>2528.5300000000002</v>
      </c>
      <c r="H273" s="150">
        <f t="shared" si="5"/>
        <v>17699.71</v>
      </c>
    </row>
    <row r="274" spans="1:8" s="3" customFormat="1" ht="28.5" x14ac:dyDescent="0.25">
      <c r="A274" s="146" t="s">
        <v>583</v>
      </c>
      <c r="B274" s="147">
        <v>104063</v>
      </c>
      <c r="C274" s="147" t="s">
        <v>23</v>
      </c>
      <c r="D274" s="143" t="s">
        <v>311</v>
      </c>
      <c r="E274" s="147" t="s">
        <v>27</v>
      </c>
      <c r="F274" s="148">
        <v>2</v>
      </c>
      <c r="G274" s="149">
        <v>73.900000000000006</v>
      </c>
      <c r="H274" s="150">
        <f t="shared" si="5"/>
        <v>147.80000000000001</v>
      </c>
    </row>
    <row r="275" spans="1:8" s="3" customFormat="1" ht="42.75" x14ac:dyDescent="0.25">
      <c r="A275" s="146" t="s">
        <v>584</v>
      </c>
      <c r="B275" s="147">
        <v>89811</v>
      </c>
      <c r="C275" s="147" t="s">
        <v>23</v>
      </c>
      <c r="D275" s="143" t="s">
        <v>312</v>
      </c>
      <c r="E275" s="147" t="s">
        <v>27</v>
      </c>
      <c r="F275" s="148">
        <v>69</v>
      </c>
      <c r="G275" s="149">
        <v>48.81</v>
      </c>
      <c r="H275" s="150">
        <f t="shared" si="5"/>
        <v>3367.89</v>
      </c>
    </row>
    <row r="276" spans="1:8" s="3" customFormat="1" ht="42.75" x14ac:dyDescent="0.25">
      <c r="A276" s="146" t="s">
        <v>585</v>
      </c>
      <c r="B276" s="147">
        <v>89746</v>
      </c>
      <c r="C276" s="147" t="s">
        <v>23</v>
      </c>
      <c r="D276" s="143" t="s">
        <v>314</v>
      </c>
      <c r="E276" s="147" t="s">
        <v>27</v>
      </c>
      <c r="F276" s="148">
        <v>5</v>
      </c>
      <c r="G276" s="149">
        <v>31.57</v>
      </c>
      <c r="H276" s="150">
        <f t="shared" si="5"/>
        <v>157.85</v>
      </c>
    </row>
    <row r="277" spans="1:8" s="3" customFormat="1" ht="42.75" x14ac:dyDescent="0.25">
      <c r="A277" s="146" t="s">
        <v>586</v>
      </c>
      <c r="B277" s="147">
        <v>89797</v>
      </c>
      <c r="C277" s="147" t="s">
        <v>23</v>
      </c>
      <c r="D277" s="143" t="s">
        <v>320</v>
      </c>
      <c r="E277" s="147" t="s">
        <v>27</v>
      </c>
      <c r="F277" s="148">
        <v>7</v>
      </c>
      <c r="G277" s="149">
        <v>56.47</v>
      </c>
      <c r="H277" s="150">
        <f t="shared" si="5"/>
        <v>395.29</v>
      </c>
    </row>
    <row r="278" spans="1:8" s="3" customFormat="1" ht="28.5" x14ac:dyDescent="0.25">
      <c r="A278" s="146" t="s">
        <v>587</v>
      </c>
      <c r="B278" s="147" t="s">
        <v>327</v>
      </c>
      <c r="C278" s="147" t="s">
        <v>95</v>
      </c>
      <c r="D278" s="143" t="s">
        <v>328</v>
      </c>
      <c r="E278" s="147" t="s">
        <v>88</v>
      </c>
      <c r="F278" s="148">
        <v>178.6</v>
      </c>
      <c r="G278" s="149">
        <v>100.91</v>
      </c>
      <c r="H278" s="150">
        <f t="shared" si="5"/>
        <v>18022.53</v>
      </c>
    </row>
    <row r="279" spans="1:8" s="3" customFormat="1" ht="28.5" x14ac:dyDescent="0.25">
      <c r="A279" s="146" t="s">
        <v>588</v>
      </c>
      <c r="B279" s="147" t="s">
        <v>347</v>
      </c>
      <c r="C279" s="147" t="s">
        <v>95</v>
      </c>
      <c r="D279" s="143" t="s">
        <v>348</v>
      </c>
      <c r="E279" s="147" t="s">
        <v>88</v>
      </c>
      <c r="F279" s="148">
        <v>148.6</v>
      </c>
      <c r="G279" s="149">
        <v>44.79</v>
      </c>
      <c r="H279" s="150">
        <f t="shared" si="5"/>
        <v>6655.79</v>
      </c>
    </row>
    <row r="280" spans="1:8" s="3" customFormat="1" ht="28.5" x14ac:dyDescent="0.25">
      <c r="A280" s="146" t="s">
        <v>793</v>
      </c>
      <c r="B280" s="147" t="s">
        <v>349</v>
      </c>
      <c r="C280" s="147" t="s">
        <v>95</v>
      </c>
      <c r="D280" s="143" t="s">
        <v>350</v>
      </c>
      <c r="E280" s="147" t="s">
        <v>88</v>
      </c>
      <c r="F280" s="148">
        <v>25.4</v>
      </c>
      <c r="G280" s="149">
        <v>62.91</v>
      </c>
      <c r="H280" s="150">
        <f t="shared" si="5"/>
        <v>1597.91</v>
      </c>
    </row>
    <row r="281" spans="1:8" s="3" customFormat="1" ht="28.5" x14ac:dyDescent="0.25">
      <c r="A281" s="146" t="s">
        <v>794</v>
      </c>
      <c r="B281" s="147" t="s">
        <v>351</v>
      </c>
      <c r="C281" s="147" t="s">
        <v>95</v>
      </c>
      <c r="D281" s="143" t="s">
        <v>352</v>
      </c>
      <c r="E281" s="147" t="s">
        <v>88</v>
      </c>
      <c r="F281" s="148">
        <v>1.3</v>
      </c>
      <c r="G281" s="149">
        <v>100.5</v>
      </c>
      <c r="H281" s="150">
        <f t="shared" si="5"/>
        <v>130.65</v>
      </c>
    </row>
    <row r="282" spans="1:8" s="3" customFormat="1" ht="28.5" x14ac:dyDescent="0.25">
      <c r="A282" s="146" t="s">
        <v>795</v>
      </c>
      <c r="B282" s="147">
        <v>90696</v>
      </c>
      <c r="C282" s="147" t="s">
        <v>23</v>
      </c>
      <c r="D282" s="143" t="s">
        <v>353</v>
      </c>
      <c r="E282" s="147" t="s">
        <v>24</v>
      </c>
      <c r="F282" s="148">
        <v>59.6</v>
      </c>
      <c r="G282" s="149">
        <v>160.03</v>
      </c>
      <c r="H282" s="150">
        <f t="shared" si="5"/>
        <v>9537.7900000000009</v>
      </c>
    </row>
    <row r="283" spans="1:8" s="3" customFormat="1" ht="28.5" x14ac:dyDescent="0.25">
      <c r="A283" s="146" t="s">
        <v>796</v>
      </c>
      <c r="B283" s="147">
        <v>90697</v>
      </c>
      <c r="C283" s="147" t="s">
        <v>23</v>
      </c>
      <c r="D283" s="143" t="s">
        <v>354</v>
      </c>
      <c r="E283" s="147" t="s">
        <v>24</v>
      </c>
      <c r="F283" s="148">
        <v>4.9000000000000004</v>
      </c>
      <c r="G283" s="149">
        <v>248.05</v>
      </c>
      <c r="H283" s="150">
        <f t="shared" si="5"/>
        <v>1215.45</v>
      </c>
    </row>
    <row r="284" spans="1:8" s="3" customFormat="1" ht="28.5" x14ac:dyDescent="0.25">
      <c r="A284" s="146" t="s">
        <v>797</v>
      </c>
      <c r="B284" s="147">
        <v>89363</v>
      </c>
      <c r="C284" s="147" t="s">
        <v>23</v>
      </c>
      <c r="D284" s="143" t="s">
        <v>355</v>
      </c>
      <c r="E284" s="147" t="s">
        <v>27</v>
      </c>
      <c r="F284" s="148">
        <v>1</v>
      </c>
      <c r="G284" s="149">
        <v>12.87</v>
      </c>
      <c r="H284" s="150">
        <f t="shared" si="5"/>
        <v>12.87</v>
      </c>
    </row>
    <row r="285" spans="1:8" s="3" customFormat="1" ht="28.5" x14ac:dyDescent="0.25">
      <c r="A285" s="146" t="s">
        <v>798</v>
      </c>
      <c r="B285" s="147">
        <v>89408</v>
      </c>
      <c r="C285" s="147" t="s">
        <v>23</v>
      </c>
      <c r="D285" s="143" t="s">
        <v>343</v>
      </c>
      <c r="E285" s="147" t="s">
        <v>27</v>
      </c>
      <c r="F285" s="148">
        <v>29</v>
      </c>
      <c r="G285" s="149">
        <v>11.01</v>
      </c>
      <c r="H285" s="150">
        <f t="shared" si="5"/>
        <v>319.29000000000002</v>
      </c>
    </row>
    <row r="286" spans="1:8" s="3" customFormat="1" ht="28.5" x14ac:dyDescent="0.25">
      <c r="A286" s="146" t="s">
        <v>799</v>
      </c>
      <c r="B286" s="147">
        <v>89356</v>
      </c>
      <c r="C286" s="147" t="s">
        <v>23</v>
      </c>
      <c r="D286" s="143" t="s">
        <v>284</v>
      </c>
      <c r="E286" s="147" t="s">
        <v>24</v>
      </c>
      <c r="F286" s="148">
        <v>180.8</v>
      </c>
      <c r="G286" s="149">
        <v>30.52</v>
      </c>
      <c r="H286" s="150">
        <f t="shared" si="5"/>
        <v>5518.02</v>
      </c>
    </row>
    <row r="287" spans="1:8" s="3" customFormat="1" ht="28.5" x14ac:dyDescent="0.25">
      <c r="A287" s="146" t="s">
        <v>800</v>
      </c>
      <c r="B287" s="147">
        <v>89869</v>
      </c>
      <c r="C287" s="147" t="s">
        <v>23</v>
      </c>
      <c r="D287" s="143" t="s">
        <v>286</v>
      </c>
      <c r="E287" s="147" t="s">
        <v>27</v>
      </c>
      <c r="F287" s="148">
        <v>14</v>
      </c>
      <c r="G287" s="149">
        <v>12.65</v>
      </c>
      <c r="H287" s="150">
        <f t="shared" si="5"/>
        <v>177.1</v>
      </c>
    </row>
    <row r="288" spans="1:8" s="3" customFormat="1" ht="15" x14ac:dyDescent="0.25">
      <c r="A288" s="98" t="s">
        <v>589</v>
      </c>
      <c r="B288" s="112"/>
      <c r="C288" s="100"/>
      <c r="D288" s="99" t="s">
        <v>356</v>
      </c>
      <c r="E288" s="101"/>
      <c r="F288" s="100"/>
      <c r="G288" s="101"/>
      <c r="H288" s="102"/>
    </row>
    <row r="289" spans="1:8" s="3" customFormat="1" ht="28.5" x14ac:dyDescent="0.25">
      <c r="A289" s="146" t="s">
        <v>590</v>
      </c>
      <c r="B289" s="147">
        <v>101910</v>
      </c>
      <c r="C289" s="147" t="s">
        <v>23</v>
      </c>
      <c r="D289" s="143" t="s">
        <v>357</v>
      </c>
      <c r="E289" s="147" t="s">
        <v>27</v>
      </c>
      <c r="F289" s="148">
        <v>11</v>
      </c>
      <c r="G289" s="149">
        <v>305.83999999999997</v>
      </c>
      <c r="H289" s="150">
        <f t="shared" si="5"/>
        <v>3364.24</v>
      </c>
    </row>
    <row r="290" spans="1:8" s="3" customFormat="1" ht="15" x14ac:dyDescent="0.25">
      <c r="A290" s="93"/>
      <c r="B290" s="86"/>
      <c r="C290" s="86"/>
      <c r="D290" s="94" t="s">
        <v>438</v>
      </c>
      <c r="E290" s="95"/>
      <c r="F290" s="96"/>
      <c r="G290" s="95"/>
      <c r="H290" s="97">
        <f>SUM(H186:H289)</f>
        <v>168477.62</v>
      </c>
    </row>
    <row r="291" spans="1:8" s="3" customFormat="1" ht="15" x14ac:dyDescent="0.25">
      <c r="A291" s="89">
        <v>12</v>
      </c>
      <c r="B291" s="91"/>
      <c r="C291" s="91"/>
      <c r="D291" s="90" t="s">
        <v>3</v>
      </c>
      <c r="E291" s="90"/>
      <c r="F291" s="90"/>
      <c r="G291" s="90"/>
      <c r="H291" s="92"/>
    </row>
    <row r="292" spans="1:8" s="3" customFormat="1" ht="15" x14ac:dyDescent="0.25">
      <c r="A292" s="98" t="s">
        <v>591</v>
      </c>
      <c r="B292" s="112"/>
      <c r="C292" s="100"/>
      <c r="D292" s="99" t="s">
        <v>358</v>
      </c>
      <c r="E292" s="101"/>
      <c r="F292" s="100"/>
      <c r="G292" s="101"/>
      <c r="H292" s="102"/>
    </row>
    <row r="293" spans="1:8" s="3" customFormat="1" ht="28.5" x14ac:dyDescent="0.25">
      <c r="A293" s="146" t="s">
        <v>592</v>
      </c>
      <c r="B293" s="147">
        <v>91940</v>
      </c>
      <c r="C293" s="147" t="s">
        <v>23</v>
      </c>
      <c r="D293" s="143" t="s">
        <v>359</v>
      </c>
      <c r="E293" s="147" t="s">
        <v>27</v>
      </c>
      <c r="F293" s="148">
        <v>321</v>
      </c>
      <c r="G293" s="149">
        <v>24.45</v>
      </c>
      <c r="H293" s="150">
        <f t="shared" si="5"/>
        <v>7848.45</v>
      </c>
    </row>
    <row r="294" spans="1:8" s="3" customFormat="1" ht="28.5" x14ac:dyDescent="0.25">
      <c r="A294" s="146" t="s">
        <v>593</v>
      </c>
      <c r="B294" s="147">
        <v>91943</v>
      </c>
      <c r="C294" s="147" t="s">
        <v>23</v>
      </c>
      <c r="D294" s="143" t="s">
        <v>360</v>
      </c>
      <c r="E294" s="147" t="s">
        <v>27</v>
      </c>
      <c r="F294" s="148">
        <v>25</v>
      </c>
      <c r="G294" s="149">
        <v>27.29</v>
      </c>
      <c r="H294" s="150">
        <f t="shared" si="5"/>
        <v>682.25</v>
      </c>
    </row>
    <row r="295" spans="1:8" s="3" customFormat="1" ht="28.5" x14ac:dyDescent="0.25">
      <c r="A295" s="146" t="s">
        <v>594</v>
      </c>
      <c r="B295" s="147">
        <v>91937</v>
      </c>
      <c r="C295" s="147" t="s">
        <v>23</v>
      </c>
      <c r="D295" s="143" t="s">
        <v>361</v>
      </c>
      <c r="E295" s="147" t="s">
        <v>27</v>
      </c>
      <c r="F295" s="148">
        <v>141</v>
      </c>
      <c r="G295" s="149">
        <v>20.2</v>
      </c>
      <c r="H295" s="150">
        <f t="shared" si="5"/>
        <v>2848.2</v>
      </c>
    </row>
    <row r="296" spans="1:8" s="3" customFormat="1" ht="28.5" x14ac:dyDescent="0.25">
      <c r="A296" s="146" t="s">
        <v>595</v>
      </c>
      <c r="B296" s="147">
        <v>92868</v>
      </c>
      <c r="C296" s="147" t="s">
        <v>23</v>
      </c>
      <c r="D296" s="143" t="s">
        <v>362</v>
      </c>
      <c r="E296" s="147" t="s">
        <v>27</v>
      </c>
      <c r="F296" s="148">
        <v>17</v>
      </c>
      <c r="G296" s="149">
        <v>23.9</v>
      </c>
      <c r="H296" s="150">
        <f t="shared" si="5"/>
        <v>406.3</v>
      </c>
    </row>
    <row r="297" spans="1:8" s="3" customFormat="1" ht="42.75" x14ac:dyDescent="0.25">
      <c r="A297" s="146" t="s">
        <v>596</v>
      </c>
      <c r="B297" s="147">
        <v>91920</v>
      </c>
      <c r="C297" s="147" t="s">
        <v>23</v>
      </c>
      <c r="D297" s="143" t="s">
        <v>363</v>
      </c>
      <c r="E297" s="147" t="s">
        <v>27</v>
      </c>
      <c r="F297" s="148">
        <v>1</v>
      </c>
      <c r="G297" s="149">
        <v>31.37</v>
      </c>
      <c r="H297" s="150">
        <f t="shared" si="5"/>
        <v>31.37</v>
      </c>
    </row>
    <row r="298" spans="1:8" s="3" customFormat="1" ht="42.75" x14ac:dyDescent="0.25">
      <c r="A298" s="146" t="s">
        <v>597</v>
      </c>
      <c r="B298" s="147">
        <v>92988</v>
      </c>
      <c r="C298" s="147" t="s">
        <v>23</v>
      </c>
      <c r="D298" s="143" t="s">
        <v>364</v>
      </c>
      <c r="E298" s="147" t="s">
        <v>24</v>
      </c>
      <c r="F298" s="148">
        <v>23.6</v>
      </c>
      <c r="G298" s="149">
        <v>55.7</v>
      </c>
      <c r="H298" s="150">
        <f t="shared" si="5"/>
        <v>1314.52</v>
      </c>
    </row>
    <row r="299" spans="1:8" s="3" customFormat="1" ht="42.75" x14ac:dyDescent="0.25">
      <c r="A299" s="146" t="s">
        <v>598</v>
      </c>
      <c r="B299" s="147">
        <v>92992</v>
      </c>
      <c r="C299" s="147" t="s">
        <v>23</v>
      </c>
      <c r="D299" s="143" t="s">
        <v>365</v>
      </c>
      <c r="E299" s="147" t="s">
        <v>24</v>
      </c>
      <c r="F299" s="148">
        <v>102.8</v>
      </c>
      <c r="G299" s="149">
        <v>99.03</v>
      </c>
      <c r="H299" s="150">
        <f t="shared" si="5"/>
        <v>10180.280000000001</v>
      </c>
    </row>
    <row r="300" spans="1:8" s="3" customFormat="1" ht="42.75" x14ac:dyDescent="0.25">
      <c r="A300" s="146" t="s">
        <v>599</v>
      </c>
      <c r="B300" s="147">
        <v>101560</v>
      </c>
      <c r="C300" s="147" t="s">
        <v>23</v>
      </c>
      <c r="D300" s="143" t="s">
        <v>366</v>
      </c>
      <c r="E300" s="147" t="s">
        <v>24</v>
      </c>
      <c r="F300" s="148">
        <v>329.2</v>
      </c>
      <c r="G300" s="149">
        <v>9.92</v>
      </c>
      <c r="H300" s="150">
        <f t="shared" si="5"/>
        <v>3265.66</v>
      </c>
    </row>
    <row r="301" spans="1:8" s="3" customFormat="1" ht="28.5" x14ac:dyDescent="0.25">
      <c r="A301" s="146" t="s">
        <v>600</v>
      </c>
      <c r="B301" s="147">
        <v>91935</v>
      </c>
      <c r="C301" s="147" t="s">
        <v>23</v>
      </c>
      <c r="D301" s="143" t="s">
        <v>367</v>
      </c>
      <c r="E301" s="147" t="s">
        <v>24</v>
      </c>
      <c r="F301" s="148">
        <v>307.3</v>
      </c>
      <c r="G301" s="149">
        <v>27.33</v>
      </c>
      <c r="H301" s="150">
        <f t="shared" si="5"/>
        <v>8398.51</v>
      </c>
    </row>
    <row r="302" spans="1:8" s="3" customFormat="1" ht="42.75" x14ac:dyDescent="0.25">
      <c r="A302" s="146" t="s">
        <v>601</v>
      </c>
      <c r="B302" s="147">
        <v>92984</v>
      </c>
      <c r="C302" s="147" t="s">
        <v>23</v>
      </c>
      <c r="D302" s="143" t="s">
        <v>368</v>
      </c>
      <c r="E302" s="147" t="s">
        <v>24</v>
      </c>
      <c r="F302" s="148">
        <v>326.5</v>
      </c>
      <c r="G302" s="149">
        <v>28.27</v>
      </c>
      <c r="H302" s="150">
        <f t="shared" ref="H302:H339" si="6">G302*F302</f>
        <v>9230.16</v>
      </c>
    </row>
    <row r="303" spans="1:8" s="3" customFormat="1" ht="42.75" x14ac:dyDescent="0.25">
      <c r="A303" s="146" t="s">
        <v>602</v>
      </c>
      <c r="B303" s="147">
        <v>92986</v>
      </c>
      <c r="C303" s="147" t="s">
        <v>23</v>
      </c>
      <c r="D303" s="143" t="s">
        <v>369</v>
      </c>
      <c r="E303" s="147" t="s">
        <v>24</v>
      </c>
      <c r="F303" s="148">
        <v>127.2</v>
      </c>
      <c r="G303" s="149">
        <v>38.71</v>
      </c>
      <c r="H303" s="150">
        <f t="shared" si="6"/>
        <v>4923.91</v>
      </c>
    </row>
    <row r="304" spans="1:8" s="3" customFormat="1" ht="28.5" x14ac:dyDescent="0.25">
      <c r="A304" s="146" t="s">
        <v>603</v>
      </c>
      <c r="B304" s="147">
        <v>91924</v>
      </c>
      <c r="C304" s="147" t="s">
        <v>23</v>
      </c>
      <c r="D304" s="143" t="s">
        <v>370</v>
      </c>
      <c r="E304" s="147" t="s">
        <v>24</v>
      </c>
      <c r="F304" s="148">
        <v>2500</v>
      </c>
      <c r="G304" s="149">
        <v>3.5</v>
      </c>
      <c r="H304" s="150">
        <f t="shared" si="6"/>
        <v>8750</v>
      </c>
    </row>
    <row r="305" spans="1:8" s="3" customFormat="1" ht="28.5" x14ac:dyDescent="0.25">
      <c r="A305" s="146" t="s">
        <v>604</v>
      </c>
      <c r="B305" s="147">
        <v>91926</v>
      </c>
      <c r="C305" s="147" t="s">
        <v>23</v>
      </c>
      <c r="D305" s="143" t="s">
        <v>371</v>
      </c>
      <c r="E305" s="147" t="s">
        <v>24</v>
      </c>
      <c r="F305" s="148">
        <v>4500</v>
      </c>
      <c r="G305" s="149">
        <v>4.9400000000000004</v>
      </c>
      <c r="H305" s="150">
        <f t="shared" si="6"/>
        <v>22230</v>
      </c>
    </row>
    <row r="306" spans="1:8" s="3" customFormat="1" ht="28.5" x14ac:dyDescent="0.25">
      <c r="A306" s="146" t="s">
        <v>605</v>
      </c>
      <c r="B306" s="147">
        <v>91928</v>
      </c>
      <c r="C306" s="147" t="s">
        <v>23</v>
      </c>
      <c r="D306" s="143" t="s">
        <v>73</v>
      </c>
      <c r="E306" s="147" t="s">
        <v>24</v>
      </c>
      <c r="F306" s="148">
        <v>797.4</v>
      </c>
      <c r="G306" s="149">
        <v>7.47</v>
      </c>
      <c r="H306" s="150">
        <f t="shared" si="6"/>
        <v>5956.58</v>
      </c>
    </row>
    <row r="307" spans="1:8" s="3" customFormat="1" ht="28.5" x14ac:dyDescent="0.25">
      <c r="A307" s="146" t="s">
        <v>606</v>
      </c>
      <c r="B307" s="147">
        <v>91930</v>
      </c>
      <c r="C307" s="147" t="s">
        <v>23</v>
      </c>
      <c r="D307" s="143" t="s">
        <v>74</v>
      </c>
      <c r="E307" s="147" t="s">
        <v>24</v>
      </c>
      <c r="F307" s="148">
        <v>295.89999999999998</v>
      </c>
      <c r="G307" s="149">
        <v>10.33</v>
      </c>
      <c r="H307" s="150">
        <f t="shared" si="6"/>
        <v>3056.65</v>
      </c>
    </row>
    <row r="308" spans="1:8" s="3" customFormat="1" ht="28.5" x14ac:dyDescent="0.25">
      <c r="A308" s="146" t="s">
        <v>607</v>
      </c>
      <c r="B308" s="147">
        <v>91961</v>
      </c>
      <c r="C308" s="147" t="s">
        <v>23</v>
      </c>
      <c r="D308" s="143" t="s">
        <v>372</v>
      </c>
      <c r="E308" s="147" t="s">
        <v>27</v>
      </c>
      <c r="F308" s="148">
        <v>2</v>
      </c>
      <c r="G308" s="149">
        <v>76.38</v>
      </c>
      <c r="H308" s="150">
        <f t="shared" si="6"/>
        <v>152.76</v>
      </c>
    </row>
    <row r="309" spans="1:8" s="3" customFormat="1" ht="28.5" x14ac:dyDescent="0.25">
      <c r="A309" s="146" t="s">
        <v>608</v>
      </c>
      <c r="B309" s="147">
        <v>91979</v>
      </c>
      <c r="C309" s="147" t="s">
        <v>23</v>
      </c>
      <c r="D309" s="143" t="s">
        <v>373</v>
      </c>
      <c r="E309" s="147" t="s">
        <v>27</v>
      </c>
      <c r="F309" s="148">
        <v>2</v>
      </c>
      <c r="G309" s="149">
        <v>64.72</v>
      </c>
      <c r="H309" s="150">
        <f t="shared" si="6"/>
        <v>129.44</v>
      </c>
    </row>
    <row r="310" spans="1:8" s="3" customFormat="1" ht="28.5" x14ac:dyDescent="0.25">
      <c r="A310" s="146" t="s">
        <v>609</v>
      </c>
      <c r="B310" s="147">
        <v>91955</v>
      </c>
      <c r="C310" s="147" t="s">
        <v>23</v>
      </c>
      <c r="D310" s="143" t="s">
        <v>374</v>
      </c>
      <c r="E310" s="147" t="s">
        <v>27</v>
      </c>
      <c r="F310" s="148">
        <v>11</v>
      </c>
      <c r="G310" s="149">
        <v>47.69</v>
      </c>
      <c r="H310" s="150">
        <f t="shared" si="6"/>
        <v>524.59</v>
      </c>
    </row>
    <row r="311" spans="1:8" s="3" customFormat="1" ht="42.75" x14ac:dyDescent="0.25">
      <c r="A311" s="146" t="s">
        <v>610</v>
      </c>
      <c r="B311" s="147">
        <v>91957</v>
      </c>
      <c r="C311" s="147" t="s">
        <v>23</v>
      </c>
      <c r="D311" s="143" t="s">
        <v>375</v>
      </c>
      <c r="E311" s="147" t="s">
        <v>27</v>
      </c>
      <c r="F311" s="148">
        <v>1</v>
      </c>
      <c r="G311" s="149">
        <v>67.680000000000007</v>
      </c>
      <c r="H311" s="150">
        <f t="shared" si="6"/>
        <v>67.680000000000007</v>
      </c>
    </row>
    <row r="312" spans="1:8" s="3" customFormat="1" ht="28.5" x14ac:dyDescent="0.25">
      <c r="A312" s="146" t="s">
        <v>611</v>
      </c>
      <c r="B312" s="147">
        <v>91953</v>
      </c>
      <c r="C312" s="147" t="s">
        <v>23</v>
      </c>
      <c r="D312" s="143" t="s">
        <v>376</v>
      </c>
      <c r="E312" s="147" t="s">
        <v>27</v>
      </c>
      <c r="F312" s="148">
        <v>30</v>
      </c>
      <c r="G312" s="149">
        <v>39.06</v>
      </c>
      <c r="H312" s="150">
        <f t="shared" si="6"/>
        <v>1171.8</v>
      </c>
    </row>
    <row r="313" spans="1:8" s="3" customFormat="1" ht="28.5" x14ac:dyDescent="0.25">
      <c r="A313" s="146" t="s">
        <v>612</v>
      </c>
      <c r="B313" s="147">
        <v>91959</v>
      </c>
      <c r="C313" s="147" t="s">
        <v>23</v>
      </c>
      <c r="D313" s="143" t="s">
        <v>377</v>
      </c>
      <c r="E313" s="147" t="s">
        <v>27</v>
      </c>
      <c r="F313" s="148">
        <v>1</v>
      </c>
      <c r="G313" s="149">
        <v>59.15</v>
      </c>
      <c r="H313" s="150">
        <f t="shared" si="6"/>
        <v>59.15</v>
      </c>
    </row>
    <row r="314" spans="1:8" s="3" customFormat="1" ht="28.5" x14ac:dyDescent="0.25">
      <c r="A314" s="146" t="s">
        <v>613</v>
      </c>
      <c r="B314" s="147">
        <v>91996</v>
      </c>
      <c r="C314" s="147" t="s">
        <v>23</v>
      </c>
      <c r="D314" s="143" t="s">
        <v>378</v>
      </c>
      <c r="E314" s="147" t="s">
        <v>27</v>
      </c>
      <c r="F314" s="148">
        <v>2</v>
      </c>
      <c r="G314" s="149">
        <v>46.49</v>
      </c>
      <c r="H314" s="150">
        <f t="shared" si="6"/>
        <v>92.98</v>
      </c>
    </row>
    <row r="315" spans="1:8" s="3" customFormat="1" ht="28.5" x14ac:dyDescent="0.25">
      <c r="A315" s="146" t="s">
        <v>614</v>
      </c>
      <c r="B315" s="147">
        <v>91997</v>
      </c>
      <c r="C315" s="147" t="s">
        <v>23</v>
      </c>
      <c r="D315" s="143" t="s">
        <v>379</v>
      </c>
      <c r="E315" s="147" t="s">
        <v>27</v>
      </c>
      <c r="F315" s="148">
        <v>17</v>
      </c>
      <c r="G315" s="149">
        <v>48.8</v>
      </c>
      <c r="H315" s="150">
        <f t="shared" si="6"/>
        <v>829.6</v>
      </c>
    </row>
    <row r="316" spans="1:8" s="3" customFormat="1" ht="28.5" x14ac:dyDescent="0.25">
      <c r="A316" s="146" t="s">
        <v>615</v>
      </c>
      <c r="B316" s="147">
        <v>92022</v>
      </c>
      <c r="C316" s="147" t="s">
        <v>23</v>
      </c>
      <c r="D316" s="143" t="s">
        <v>380</v>
      </c>
      <c r="E316" s="147" t="s">
        <v>27</v>
      </c>
      <c r="F316" s="148">
        <v>22</v>
      </c>
      <c r="G316" s="149">
        <v>52.17</v>
      </c>
      <c r="H316" s="150">
        <f t="shared" si="6"/>
        <v>1147.74</v>
      </c>
    </row>
    <row r="317" spans="1:8" s="3" customFormat="1" ht="28.5" x14ac:dyDescent="0.25">
      <c r="A317" s="146" t="s">
        <v>616</v>
      </c>
      <c r="B317" s="147">
        <v>92026</v>
      </c>
      <c r="C317" s="147" t="s">
        <v>23</v>
      </c>
      <c r="D317" s="143" t="s">
        <v>381</v>
      </c>
      <c r="E317" s="147" t="s">
        <v>27</v>
      </c>
      <c r="F317" s="148">
        <v>2</v>
      </c>
      <c r="G317" s="149">
        <v>72.260000000000005</v>
      </c>
      <c r="H317" s="150">
        <f t="shared" si="6"/>
        <v>144.52000000000001</v>
      </c>
    </row>
    <row r="318" spans="1:8" s="3" customFormat="1" ht="28.5" x14ac:dyDescent="0.25">
      <c r="A318" s="146" t="s">
        <v>617</v>
      </c>
      <c r="B318" s="147">
        <v>92002</v>
      </c>
      <c r="C318" s="147" t="s">
        <v>23</v>
      </c>
      <c r="D318" s="143" t="s">
        <v>382</v>
      </c>
      <c r="E318" s="147" t="s">
        <v>27</v>
      </c>
      <c r="F318" s="148">
        <v>98</v>
      </c>
      <c r="G318" s="149">
        <v>59.67</v>
      </c>
      <c r="H318" s="150">
        <f t="shared" si="6"/>
        <v>5847.66</v>
      </c>
    </row>
    <row r="319" spans="1:8" s="3" customFormat="1" ht="28.5" x14ac:dyDescent="0.25">
      <c r="A319" s="146" t="s">
        <v>618</v>
      </c>
      <c r="B319" s="147">
        <v>92003</v>
      </c>
      <c r="C319" s="147" t="s">
        <v>23</v>
      </c>
      <c r="D319" s="143" t="s">
        <v>383</v>
      </c>
      <c r="E319" s="147" t="s">
        <v>27</v>
      </c>
      <c r="F319" s="148">
        <v>26</v>
      </c>
      <c r="G319" s="149">
        <v>64.290000000000006</v>
      </c>
      <c r="H319" s="150">
        <f t="shared" si="6"/>
        <v>1671.54</v>
      </c>
    </row>
    <row r="320" spans="1:8" s="3" customFormat="1" ht="28.5" x14ac:dyDescent="0.25">
      <c r="A320" s="146" t="s">
        <v>619</v>
      </c>
      <c r="B320" s="147">
        <v>92010</v>
      </c>
      <c r="C320" s="147" t="s">
        <v>23</v>
      </c>
      <c r="D320" s="143" t="s">
        <v>384</v>
      </c>
      <c r="E320" s="147" t="s">
        <v>27</v>
      </c>
      <c r="F320" s="148">
        <v>1</v>
      </c>
      <c r="G320" s="149">
        <v>87.1</v>
      </c>
      <c r="H320" s="150">
        <f t="shared" si="6"/>
        <v>87.1</v>
      </c>
    </row>
    <row r="321" spans="1:8" s="3" customFormat="1" ht="28.5" x14ac:dyDescent="0.25">
      <c r="A321" s="146" t="s">
        <v>620</v>
      </c>
      <c r="B321" s="147">
        <v>91994</v>
      </c>
      <c r="C321" s="147" t="s">
        <v>23</v>
      </c>
      <c r="D321" s="143" t="s">
        <v>385</v>
      </c>
      <c r="E321" s="147" t="s">
        <v>27</v>
      </c>
      <c r="F321" s="148">
        <v>90</v>
      </c>
      <c r="G321" s="149">
        <v>32.18</v>
      </c>
      <c r="H321" s="150">
        <f t="shared" si="6"/>
        <v>2896.2</v>
      </c>
    </row>
    <row r="322" spans="1:8" s="3" customFormat="1" ht="28.5" x14ac:dyDescent="0.25">
      <c r="A322" s="146" t="s">
        <v>621</v>
      </c>
      <c r="B322" s="147">
        <v>91995</v>
      </c>
      <c r="C322" s="147" t="s">
        <v>23</v>
      </c>
      <c r="D322" s="143" t="s">
        <v>386</v>
      </c>
      <c r="E322" s="147" t="s">
        <v>27</v>
      </c>
      <c r="F322" s="148">
        <v>4</v>
      </c>
      <c r="G322" s="149">
        <v>34.49</v>
      </c>
      <c r="H322" s="150">
        <f t="shared" si="6"/>
        <v>137.96</v>
      </c>
    </row>
    <row r="323" spans="1:8" s="3" customFormat="1" ht="14.25" x14ac:dyDescent="0.25">
      <c r="A323" s="146" t="s">
        <v>622</v>
      </c>
      <c r="B323" s="147" t="s">
        <v>387</v>
      </c>
      <c r="C323" s="147" t="s">
        <v>95</v>
      </c>
      <c r="D323" s="143" t="s">
        <v>388</v>
      </c>
      <c r="E323" s="147" t="s">
        <v>27</v>
      </c>
      <c r="F323" s="148">
        <v>2</v>
      </c>
      <c r="G323" s="149">
        <v>49.81</v>
      </c>
      <c r="H323" s="150">
        <f t="shared" si="6"/>
        <v>99.62</v>
      </c>
    </row>
    <row r="324" spans="1:8" s="3" customFormat="1" ht="28.5" x14ac:dyDescent="0.25">
      <c r="A324" s="146" t="s">
        <v>623</v>
      </c>
      <c r="B324" s="147">
        <v>93653</v>
      </c>
      <c r="C324" s="147" t="s">
        <v>23</v>
      </c>
      <c r="D324" s="143" t="s">
        <v>389</v>
      </c>
      <c r="E324" s="147" t="s">
        <v>27</v>
      </c>
      <c r="F324" s="148">
        <v>13</v>
      </c>
      <c r="G324" s="149">
        <v>11.82</v>
      </c>
      <c r="H324" s="150">
        <f t="shared" si="6"/>
        <v>153.66</v>
      </c>
    </row>
    <row r="325" spans="1:8" s="3" customFormat="1" ht="28.5" x14ac:dyDescent="0.25">
      <c r="A325" s="146" t="s">
        <v>624</v>
      </c>
      <c r="B325" s="147">
        <v>93654</v>
      </c>
      <c r="C325" s="147" t="s">
        <v>23</v>
      </c>
      <c r="D325" s="143" t="s">
        <v>390</v>
      </c>
      <c r="E325" s="147" t="s">
        <v>27</v>
      </c>
      <c r="F325" s="148">
        <v>36</v>
      </c>
      <c r="G325" s="149">
        <v>12.75</v>
      </c>
      <c r="H325" s="150">
        <f t="shared" si="6"/>
        <v>459</v>
      </c>
    </row>
    <row r="326" spans="1:8" s="3" customFormat="1" ht="28.5" x14ac:dyDescent="0.25">
      <c r="A326" s="146" t="s">
        <v>625</v>
      </c>
      <c r="B326" s="147">
        <v>93655</v>
      </c>
      <c r="C326" s="147" t="s">
        <v>23</v>
      </c>
      <c r="D326" s="143" t="s">
        <v>391</v>
      </c>
      <c r="E326" s="147" t="s">
        <v>27</v>
      </c>
      <c r="F326" s="148">
        <v>1</v>
      </c>
      <c r="G326" s="149">
        <v>14.47</v>
      </c>
      <c r="H326" s="150">
        <f t="shared" si="6"/>
        <v>14.47</v>
      </c>
    </row>
    <row r="327" spans="1:8" s="3" customFormat="1" ht="28.5" x14ac:dyDescent="0.25">
      <c r="A327" s="146" t="s">
        <v>626</v>
      </c>
      <c r="B327" s="147">
        <v>93660</v>
      </c>
      <c r="C327" s="147" t="s">
        <v>23</v>
      </c>
      <c r="D327" s="143" t="s">
        <v>83</v>
      </c>
      <c r="E327" s="147" t="s">
        <v>27</v>
      </c>
      <c r="F327" s="148">
        <v>1</v>
      </c>
      <c r="G327" s="149">
        <v>54.17</v>
      </c>
      <c r="H327" s="150">
        <f t="shared" si="6"/>
        <v>54.17</v>
      </c>
    </row>
    <row r="328" spans="1:8" s="3" customFormat="1" ht="28.5" x14ac:dyDescent="0.25">
      <c r="A328" s="146" t="s">
        <v>627</v>
      </c>
      <c r="B328" s="147">
        <v>93661</v>
      </c>
      <c r="C328" s="147" t="s">
        <v>23</v>
      </c>
      <c r="D328" s="143" t="s">
        <v>84</v>
      </c>
      <c r="E328" s="147" t="s">
        <v>27</v>
      </c>
      <c r="F328" s="148">
        <v>42</v>
      </c>
      <c r="G328" s="149">
        <v>56.04</v>
      </c>
      <c r="H328" s="150">
        <f t="shared" si="6"/>
        <v>2353.6799999999998</v>
      </c>
    </row>
    <row r="329" spans="1:8" s="3" customFormat="1" ht="28.5" x14ac:dyDescent="0.25">
      <c r="A329" s="146" t="s">
        <v>628</v>
      </c>
      <c r="B329" s="147">
        <v>93662</v>
      </c>
      <c r="C329" s="147" t="s">
        <v>23</v>
      </c>
      <c r="D329" s="143" t="s">
        <v>85</v>
      </c>
      <c r="E329" s="147" t="s">
        <v>27</v>
      </c>
      <c r="F329" s="148">
        <v>5</v>
      </c>
      <c r="G329" s="149">
        <v>59.49</v>
      </c>
      <c r="H329" s="150">
        <f t="shared" si="6"/>
        <v>297.45</v>
      </c>
    </row>
    <row r="330" spans="1:8" s="3" customFormat="1" ht="28.5" x14ac:dyDescent="0.25">
      <c r="A330" s="146" t="s">
        <v>629</v>
      </c>
      <c r="B330" s="147">
        <v>93664</v>
      </c>
      <c r="C330" s="147" t="s">
        <v>23</v>
      </c>
      <c r="D330" s="143" t="s">
        <v>86</v>
      </c>
      <c r="E330" s="147" t="s">
        <v>27</v>
      </c>
      <c r="F330" s="148">
        <v>6</v>
      </c>
      <c r="G330" s="149">
        <v>63.74</v>
      </c>
      <c r="H330" s="150">
        <f t="shared" si="6"/>
        <v>382.44</v>
      </c>
    </row>
    <row r="331" spans="1:8" s="3" customFormat="1" ht="28.5" x14ac:dyDescent="0.25">
      <c r="A331" s="146" t="s">
        <v>630</v>
      </c>
      <c r="B331" s="147">
        <v>93668</v>
      </c>
      <c r="C331" s="147" t="s">
        <v>23</v>
      </c>
      <c r="D331" s="143" t="s">
        <v>392</v>
      </c>
      <c r="E331" s="147" t="s">
        <v>27</v>
      </c>
      <c r="F331" s="148">
        <v>4</v>
      </c>
      <c r="G331" s="149">
        <v>71.19</v>
      </c>
      <c r="H331" s="150">
        <f t="shared" si="6"/>
        <v>284.76</v>
      </c>
    </row>
    <row r="332" spans="1:8" s="3" customFormat="1" ht="28.5" x14ac:dyDescent="0.25">
      <c r="A332" s="146" t="s">
        <v>631</v>
      </c>
      <c r="B332" s="147">
        <v>93672</v>
      </c>
      <c r="C332" s="147" t="s">
        <v>23</v>
      </c>
      <c r="D332" s="143" t="s">
        <v>393</v>
      </c>
      <c r="E332" s="147" t="s">
        <v>27</v>
      </c>
      <c r="F332" s="148">
        <v>1</v>
      </c>
      <c r="G332" s="149">
        <v>93.1</v>
      </c>
      <c r="H332" s="150">
        <f t="shared" si="6"/>
        <v>93.1</v>
      </c>
    </row>
    <row r="333" spans="1:8" s="3" customFormat="1" ht="14.25" x14ac:dyDescent="0.25">
      <c r="A333" s="146" t="s">
        <v>632</v>
      </c>
      <c r="B333" s="147" t="s">
        <v>394</v>
      </c>
      <c r="C333" s="147" t="s">
        <v>95</v>
      </c>
      <c r="D333" s="143" t="s">
        <v>395</v>
      </c>
      <c r="E333" s="147" t="s">
        <v>233</v>
      </c>
      <c r="F333" s="148">
        <v>4</v>
      </c>
      <c r="G333" s="149">
        <v>254.45</v>
      </c>
      <c r="H333" s="150">
        <f t="shared" si="6"/>
        <v>1017.8</v>
      </c>
    </row>
    <row r="334" spans="1:8" s="3" customFormat="1" ht="42.75" x14ac:dyDescent="0.25">
      <c r="A334" s="146" t="s">
        <v>633</v>
      </c>
      <c r="B334" s="147">
        <v>91837</v>
      </c>
      <c r="C334" s="147" t="s">
        <v>23</v>
      </c>
      <c r="D334" s="143" t="s">
        <v>396</v>
      </c>
      <c r="E334" s="147" t="s">
        <v>24</v>
      </c>
      <c r="F334" s="148">
        <v>20.8</v>
      </c>
      <c r="G334" s="149">
        <v>28.22</v>
      </c>
      <c r="H334" s="150">
        <f t="shared" si="6"/>
        <v>586.98</v>
      </c>
    </row>
    <row r="335" spans="1:8" s="3" customFormat="1" ht="42.75" x14ac:dyDescent="0.25">
      <c r="A335" s="146" t="s">
        <v>634</v>
      </c>
      <c r="B335" s="147">
        <v>91835</v>
      </c>
      <c r="C335" s="147" t="s">
        <v>23</v>
      </c>
      <c r="D335" s="143" t="s">
        <v>397</v>
      </c>
      <c r="E335" s="147" t="s">
        <v>24</v>
      </c>
      <c r="F335" s="148">
        <v>1282.2</v>
      </c>
      <c r="G335" s="149">
        <v>23.44</v>
      </c>
      <c r="H335" s="150">
        <f t="shared" si="6"/>
        <v>30054.77</v>
      </c>
    </row>
    <row r="336" spans="1:8" s="3" customFormat="1" ht="42.75" x14ac:dyDescent="0.25">
      <c r="A336" s="146" t="s">
        <v>635</v>
      </c>
      <c r="B336" s="147">
        <v>93008</v>
      </c>
      <c r="C336" s="147" t="s">
        <v>23</v>
      </c>
      <c r="D336" s="143" t="s">
        <v>398</v>
      </c>
      <c r="E336" s="147" t="s">
        <v>24</v>
      </c>
      <c r="F336" s="148">
        <v>32.700000000000003</v>
      </c>
      <c r="G336" s="149">
        <v>19.920000000000002</v>
      </c>
      <c r="H336" s="150">
        <f t="shared" si="6"/>
        <v>651.38</v>
      </c>
    </row>
    <row r="337" spans="1:8" s="3" customFormat="1" ht="28.5" x14ac:dyDescent="0.25">
      <c r="A337" s="146" t="s">
        <v>636</v>
      </c>
      <c r="B337" s="147">
        <v>91865</v>
      </c>
      <c r="C337" s="147" t="s">
        <v>23</v>
      </c>
      <c r="D337" s="143" t="s">
        <v>399</v>
      </c>
      <c r="E337" s="147" t="s">
        <v>24</v>
      </c>
      <c r="F337" s="148">
        <v>357.5</v>
      </c>
      <c r="G337" s="149">
        <v>21.86</v>
      </c>
      <c r="H337" s="150">
        <f t="shared" si="6"/>
        <v>7814.95</v>
      </c>
    </row>
    <row r="338" spans="1:8" s="3" customFormat="1" ht="42.75" x14ac:dyDescent="0.25">
      <c r="A338" s="146" t="s">
        <v>637</v>
      </c>
      <c r="B338" s="147">
        <v>93009</v>
      </c>
      <c r="C338" s="147" t="s">
        <v>23</v>
      </c>
      <c r="D338" s="143" t="s">
        <v>400</v>
      </c>
      <c r="E338" s="147" t="s">
        <v>24</v>
      </c>
      <c r="F338" s="148">
        <v>47.1</v>
      </c>
      <c r="G338" s="149">
        <v>28.45</v>
      </c>
      <c r="H338" s="150">
        <f t="shared" si="6"/>
        <v>1340</v>
      </c>
    </row>
    <row r="339" spans="1:8" s="3" customFormat="1" ht="14.25" x14ac:dyDescent="0.25">
      <c r="A339" s="146" t="s">
        <v>801</v>
      </c>
      <c r="B339" s="147" t="s">
        <v>401</v>
      </c>
      <c r="C339" s="147" t="s">
        <v>95</v>
      </c>
      <c r="D339" s="143" t="s">
        <v>402</v>
      </c>
      <c r="E339" s="147" t="s">
        <v>88</v>
      </c>
      <c r="F339" s="148">
        <v>1</v>
      </c>
      <c r="G339" s="149">
        <v>71.67</v>
      </c>
      <c r="H339" s="150">
        <f t="shared" si="6"/>
        <v>71.67</v>
      </c>
    </row>
    <row r="340" spans="1:8" s="3" customFormat="1" ht="28.5" x14ac:dyDescent="0.25">
      <c r="A340" s="146" t="s">
        <v>802</v>
      </c>
      <c r="B340" s="147">
        <v>101538</v>
      </c>
      <c r="C340" s="147" t="s">
        <v>23</v>
      </c>
      <c r="D340" s="143" t="s">
        <v>403</v>
      </c>
      <c r="E340" s="147" t="s">
        <v>27</v>
      </c>
      <c r="F340" s="148">
        <v>2</v>
      </c>
      <c r="G340" s="149">
        <v>47.5</v>
      </c>
      <c r="H340" s="150">
        <f t="shared" ref="H340:H370" si="7">G340*F340</f>
        <v>95</v>
      </c>
    </row>
    <row r="341" spans="1:8" s="3" customFormat="1" ht="28.5" x14ac:dyDescent="0.25">
      <c r="A341" s="146" t="s">
        <v>803</v>
      </c>
      <c r="B341" s="147" t="s">
        <v>404</v>
      </c>
      <c r="C341" s="147" t="s">
        <v>95</v>
      </c>
      <c r="D341" s="143" t="s">
        <v>448</v>
      </c>
      <c r="E341" s="147" t="s">
        <v>196</v>
      </c>
      <c r="F341" s="148">
        <v>1</v>
      </c>
      <c r="G341" s="149">
        <v>604.91999999999996</v>
      </c>
      <c r="H341" s="150">
        <f t="shared" si="7"/>
        <v>604.91999999999996</v>
      </c>
    </row>
    <row r="342" spans="1:8" s="3" customFormat="1" ht="28.5" x14ac:dyDescent="0.25">
      <c r="A342" s="146" t="s">
        <v>804</v>
      </c>
      <c r="B342" s="147" t="s">
        <v>405</v>
      </c>
      <c r="C342" s="147" t="s">
        <v>95</v>
      </c>
      <c r="D342" s="143" t="s">
        <v>449</v>
      </c>
      <c r="E342" s="147" t="s">
        <v>196</v>
      </c>
      <c r="F342" s="148">
        <v>2</v>
      </c>
      <c r="G342" s="149">
        <v>876.74</v>
      </c>
      <c r="H342" s="150">
        <f t="shared" si="7"/>
        <v>1753.48</v>
      </c>
    </row>
    <row r="343" spans="1:8" s="3" customFormat="1" ht="42.75" x14ac:dyDescent="0.25">
      <c r="A343" s="146" t="s">
        <v>805</v>
      </c>
      <c r="B343" s="147">
        <v>101880</v>
      </c>
      <c r="C343" s="147" t="s">
        <v>23</v>
      </c>
      <c r="D343" s="143" t="s">
        <v>72</v>
      </c>
      <c r="E343" s="147" t="s">
        <v>27</v>
      </c>
      <c r="F343" s="148">
        <v>2</v>
      </c>
      <c r="G343" s="149">
        <v>591.44000000000005</v>
      </c>
      <c r="H343" s="150">
        <f t="shared" si="7"/>
        <v>1182.8800000000001</v>
      </c>
    </row>
    <row r="344" spans="1:8" s="3" customFormat="1" ht="42.75" x14ac:dyDescent="0.25">
      <c r="A344" s="146" t="s">
        <v>806</v>
      </c>
      <c r="B344" s="147">
        <v>101881</v>
      </c>
      <c r="C344" s="147" t="s">
        <v>23</v>
      </c>
      <c r="D344" s="143" t="s">
        <v>406</v>
      </c>
      <c r="E344" s="147" t="s">
        <v>27</v>
      </c>
      <c r="F344" s="148">
        <v>2</v>
      </c>
      <c r="G344" s="149">
        <v>839.49</v>
      </c>
      <c r="H344" s="150">
        <f t="shared" si="7"/>
        <v>1678.98</v>
      </c>
    </row>
    <row r="345" spans="1:8" s="3" customFormat="1" ht="15" x14ac:dyDescent="0.25">
      <c r="A345" s="98" t="s">
        <v>638</v>
      </c>
      <c r="B345" s="112"/>
      <c r="C345" s="100"/>
      <c r="D345" s="99" t="s">
        <v>407</v>
      </c>
      <c r="E345" s="101"/>
      <c r="F345" s="100"/>
      <c r="G345" s="101"/>
      <c r="H345" s="102"/>
    </row>
    <row r="346" spans="1:8" s="3" customFormat="1" ht="28.5" x14ac:dyDescent="0.25">
      <c r="A346" s="124" t="s">
        <v>639</v>
      </c>
      <c r="B346" s="108">
        <v>3780</v>
      </c>
      <c r="C346" s="147" t="s">
        <v>23</v>
      </c>
      <c r="D346" s="109" t="s">
        <v>838</v>
      </c>
      <c r="E346" s="110" t="s">
        <v>27</v>
      </c>
      <c r="F346" s="148">
        <v>100</v>
      </c>
      <c r="G346" s="110">
        <v>102.9</v>
      </c>
      <c r="H346" s="150">
        <f t="shared" si="7"/>
        <v>10290</v>
      </c>
    </row>
    <row r="347" spans="1:8" s="3" customFormat="1" ht="14.25" x14ac:dyDescent="0.25">
      <c r="A347" s="124" t="s">
        <v>640</v>
      </c>
      <c r="B347" s="87">
        <v>39391</v>
      </c>
      <c r="C347" s="147" t="s">
        <v>23</v>
      </c>
      <c r="D347" s="135" t="s">
        <v>839</v>
      </c>
      <c r="E347" s="106" t="s">
        <v>27</v>
      </c>
      <c r="F347" s="148">
        <v>10</v>
      </c>
      <c r="G347" s="106">
        <v>27.34</v>
      </c>
      <c r="H347" s="150">
        <f t="shared" si="7"/>
        <v>273.39999999999998</v>
      </c>
    </row>
    <row r="348" spans="1:8" s="3" customFormat="1" ht="28.5" x14ac:dyDescent="0.25">
      <c r="A348" s="124" t="s">
        <v>641</v>
      </c>
      <c r="B348" s="88">
        <v>97599</v>
      </c>
      <c r="C348" s="147" t="s">
        <v>23</v>
      </c>
      <c r="D348" s="138" t="s">
        <v>840</v>
      </c>
      <c r="E348" s="103" t="s">
        <v>27</v>
      </c>
      <c r="F348" s="148">
        <v>8</v>
      </c>
      <c r="G348" s="103">
        <v>20.170000000000002</v>
      </c>
      <c r="H348" s="150">
        <f t="shared" si="7"/>
        <v>161.36000000000001</v>
      </c>
    </row>
    <row r="349" spans="1:8" s="3" customFormat="1" ht="15" x14ac:dyDescent="0.25">
      <c r="A349" s="98" t="s">
        <v>642</v>
      </c>
      <c r="B349" s="112"/>
      <c r="C349" s="100"/>
      <c r="D349" s="99" t="s">
        <v>408</v>
      </c>
      <c r="E349" s="101"/>
      <c r="F349" s="100"/>
      <c r="G349" s="101"/>
      <c r="H349" s="102"/>
    </row>
    <row r="350" spans="1:8" s="3" customFormat="1" ht="28.5" x14ac:dyDescent="0.25">
      <c r="A350" s="146" t="s">
        <v>643</v>
      </c>
      <c r="B350" s="108">
        <v>96987</v>
      </c>
      <c r="C350" s="87" t="s">
        <v>23</v>
      </c>
      <c r="D350" s="109" t="s">
        <v>458</v>
      </c>
      <c r="E350" s="108" t="s">
        <v>27</v>
      </c>
      <c r="F350" s="110">
        <v>20</v>
      </c>
      <c r="G350" s="110">
        <v>152.31</v>
      </c>
      <c r="H350" s="150">
        <f t="shared" si="7"/>
        <v>3046.2</v>
      </c>
    </row>
    <row r="351" spans="1:8" s="3" customFormat="1" ht="14.25" x14ac:dyDescent="0.25">
      <c r="A351" s="146" t="s">
        <v>644</v>
      </c>
      <c r="B351" s="108">
        <v>96989</v>
      </c>
      <c r="C351" s="87" t="s">
        <v>23</v>
      </c>
      <c r="D351" s="109" t="s">
        <v>459</v>
      </c>
      <c r="E351" s="108" t="s">
        <v>27</v>
      </c>
      <c r="F351" s="110">
        <v>20</v>
      </c>
      <c r="G351" s="110">
        <v>147.05000000000001</v>
      </c>
      <c r="H351" s="150">
        <f t="shared" si="7"/>
        <v>2941</v>
      </c>
    </row>
    <row r="352" spans="1:8" s="3" customFormat="1" ht="42.75" x14ac:dyDescent="0.25">
      <c r="A352" s="146" t="s">
        <v>645</v>
      </c>
      <c r="B352" s="108">
        <v>104749</v>
      </c>
      <c r="C352" s="87" t="s">
        <v>23</v>
      </c>
      <c r="D352" s="109" t="s">
        <v>460</v>
      </c>
      <c r="E352" s="108" t="s">
        <v>27</v>
      </c>
      <c r="F352" s="110">
        <v>20</v>
      </c>
      <c r="G352" s="110">
        <v>27.62</v>
      </c>
      <c r="H352" s="150">
        <f t="shared" si="7"/>
        <v>552.4</v>
      </c>
    </row>
    <row r="353" spans="1:8" s="3" customFormat="1" ht="28.5" x14ac:dyDescent="0.25">
      <c r="A353" s="146" t="s">
        <v>646</v>
      </c>
      <c r="B353" s="108">
        <v>96973</v>
      </c>
      <c r="C353" s="87" t="s">
        <v>23</v>
      </c>
      <c r="D353" s="109" t="s">
        <v>461</v>
      </c>
      <c r="E353" s="108" t="s">
        <v>24</v>
      </c>
      <c r="F353" s="110">
        <v>200</v>
      </c>
      <c r="G353" s="110">
        <v>78.069999999999993</v>
      </c>
      <c r="H353" s="150">
        <f t="shared" si="7"/>
        <v>15614</v>
      </c>
    </row>
    <row r="354" spans="1:8" s="3" customFormat="1" ht="28.5" x14ac:dyDescent="0.25">
      <c r="A354" s="146" t="s">
        <v>647</v>
      </c>
      <c r="B354" s="108">
        <v>96986</v>
      </c>
      <c r="C354" s="87" t="s">
        <v>23</v>
      </c>
      <c r="D354" s="109" t="s">
        <v>462</v>
      </c>
      <c r="E354" s="108" t="s">
        <v>27</v>
      </c>
      <c r="F354" s="110">
        <v>20</v>
      </c>
      <c r="G354" s="110">
        <v>160.5</v>
      </c>
      <c r="H354" s="150">
        <f t="shared" si="7"/>
        <v>3210</v>
      </c>
    </row>
    <row r="355" spans="1:8" s="3" customFormat="1" ht="28.5" x14ac:dyDescent="0.25">
      <c r="A355" s="146" t="s">
        <v>648</v>
      </c>
      <c r="B355" s="88">
        <v>96988</v>
      </c>
      <c r="C355" s="87" t="s">
        <v>23</v>
      </c>
      <c r="D355" s="111" t="s">
        <v>463</v>
      </c>
      <c r="E355" s="88" t="s">
        <v>27</v>
      </c>
      <c r="F355" s="103">
        <v>20</v>
      </c>
      <c r="G355" s="103">
        <v>175.8</v>
      </c>
      <c r="H355" s="150">
        <f t="shared" si="7"/>
        <v>3516</v>
      </c>
    </row>
    <row r="356" spans="1:8" s="3" customFormat="1" ht="15" x14ac:dyDescent="0.25">
      <c r="A356" s="93"/>
      <c r="B356" s="86"/>
      <c r="C356" s="86"/>
      <c r="D356" s="94" t="s">
        <v>438</v>
      </c>
      <c r="E356" s="95"/>
      <c r="F356" s="96"/>
      <c r="G356" s="95"/>
      <c r="H356" s="97">
        <f>SUM(H293:H355)</f>
        <v>194733.08</v>
      </c>
    </row>
    <row r="357" spans="1:8" s="3" customFormat="1" ht="15" x14ac:dyDescent="0.25">
      <c r="A357" s="89">
        <v>13</v>
      </c>
      <c r="B357" s="91"/>
      <c r="C357" s="91"/>
      <c r="D357" s="90" t="s">
        <v>409</v>
      </c>
      <c r="E357" s="90"/>
      <c r="F357" s="90"/>
      <c r="G357" s="90"/>
      <c r="H357" s="92"/>
    </row>
    <row r="358" spans="1:8" s="3" customFormat="1" ht="15" x14ac:dyDescent="0.25">
      <c r="A358" s="98" t="s">
        <v>649</v>
      </c>
      <c r="B358" s="112"/>
      <c r="C358" s="100"/>
      <c r="D358" s="99" t="s">
        <v>358</v>
      </c>
      <c r="E358" s="101"/>
      <c r="F358" s="100"/>
      <c r="G358" s="101"/>
      <c r="H358" s="102"/>
    </row>
    <row r="359" spans="1:8" s="3" customFormat="1" ht="42.75" x14ac:dyDescent="0.25">
      <c r="A359" s="146" t="s">
        <v>650</v>
      </c>
      <c r="B359" s="147">
        <v>97331</v>
      </c>
      <c r="C359" s="147" t="s">
        <v>23</v>
      </c>
      <c r="D359" s="143" t="s">
        <v>410</v>
      </c>
      <c r="E359" s="147" t="s">
        <v>24</v>
      </c>
      <c r="F359" s="148">
        <v>202</v>
      </c>
      <c r="G359" s="149">
        <v>27.7</v>
      </c>
      <c r="H359" s="150">
        <f t="shared" si="7"/>
        <v>5595.4</v>
      </c>
    </row>
    <row r="360" spans="1:8" s="3" customFormat="1" ht="42.75" x14ac:dyDescent="0.25">
      <c r="A360" s="146" t="s">
        <v>651</v>
      </c>
      <c r="B360" s="147">
        <v>103290</v>
      </c>
      <c r="C360" s="147" t="s">
        <v>23</v>
      </c>
      <c r="D360" s="143" t="s">
        <v>411</v>
      </c>
      <c r="E360" s="147" t="s">
        <v>24</v>
      </c>
      <c r="F360" s="148">
        <v>120</v>
      </c>
      <c r="G360" s="149">
        <v>49.36</v>
      </c>
      <c r="H360" s="150">
        <f t="shared" si="7"/>
        <v>5923.2</v>
      </c>
    </row>
    <row r="361" spans="1:8" s="3" customFormat="1" ht="42.75" x14ac:dyDescent="0.25">
      <c r="A361" s="146" t="s">
        <v>652</v>
      </c>
      <c r="B361" s="147">
        <v>103291</v>
      </c>
      <c r="C361" s="147" t="s">
        <v>23</v>
      </c>
      <c r="D361" s="143" t="s">
        <v>412</v>
      </c>
      <c r="E361" s="147" t="s">
        <v>24</v>
      </c>
      <c r="F361" s="148">
        <v>118</v>
      </c>
      <c r="G361" s="149">
        <v>61.64</v>
      </c>
      <c r="H361" s="150">
        <f t="shared" si="7"/>
        <v>7273.52</v>
      </c>
    </row>
    <row r="362" spans="1:8" s="3" customFormat="1" ht="42.75" x14ac:dyDescent="0.25">
      <c r="A362" s="146" t="s">
        <v>653</v>
      </c>
      <c r="B362" s="147">
        <v>97330</v>
      </c>
      <c r="C362" s="147" t="s">
        <v>23</v>
      </c>
      <c r="D362" s="143" t="s">
        <v>413</v>
      </c>
      <c r="E362" s="147" t="s">
        <v>24</v>
      </c>
      <c r="F362" s="148">
        <v>36</v>
      </c>
      <c r="G362" s="149">
        <v>68.430000000000007</v>
      </c>
      <c r="H362" s="150">
        <f t="shared" si="7"/>
        <v>2463.48</v>
      </c>
    </row>
    <row r="363" spans="1:8" s="3" customFormat="1" ht="14.25" x14ac:dyDescent="0.25">
      <c r="A363" s="146" t="s">
        <v>654</v>
      </c>
      <c r="B363" s="147" t="s">
        <v>414</v>
      </c>
      <c r="C363" s="147" t="s">
        <v>95</v>
      </c>
      <c r="D363" s="143" t="s">
        <v>450</v>
      </c>
      <c r="E363" s="147" t="s">
        <v>24</v>
      </c>
      <c r="F363" s="148">
        <v>212</v>
      </c>
      <c r="G363" s="149">
        <v>21.8</v>
      </c>
      <c r="H363" s="150">
        <f t="shared" si="7"/>
        <v>4621.6000000000004</v>
      </c>
    </row>
    <row r="364" spans="1:8" s="3" customFormat="1" ht="14.25" x14ac:dyDescent="0.25">
      <c r="A364" s="146" t="s">
        <v>655</v>
      </c>
      <c r="B364" s="147" t="s">
        <v>415</v>
      </c>
      <c r="C364" s="147" t="s">
        <v>95</v>
      </c>
      <c r="D364" s="143" t="s">
        <v>809</v>
      </c>
      <c r="E364" s="147" t="s">
        <v>24</v>
      </c>
      <c r="F364" s="148">
        <v>10</v>
      </c>
      <c r="G364" s="149">
        <v>26.38</v>
      </c>
      <c r="H364" s="150">
        <f t="shared" si="7"/>
        <v>263.8</v>
      </c>
    </row>
    <row r="365" spans="1:8" s="3" customFormat="1" ht="14.25" x14ac:dyDescent="0.25">
      <c r="A365" s="146" t="s">
        <v>656</v>
      </c>
      <c r="B365" s="147" t="s">
        <v>416</v>
      </c>
      <c r="C365" s="147" t="s">
        <v>95</v>
      </c>
      <c r="D365" s="143" t="s">
        <v>808</v>
      </c>
      <c r="E365" s="147" t="s">
        <v>24</v>
      </c>
      <c r="F365" s="148">
        <v>84</v>
      </c>
      <c r="G365" s="149">
        <v>22.4</v>
      </c>
      <c r="H365" s="150">
        <f t="shared" si="7"/>
        <v>1881.6</v>
      </c>
    </row>
    <row r="366" spans="1:8" s="3" customFormat="1" ht="14.25" x14ac:dyDescent="0.25">
      <c r="A366" s="146" t="s">
        <v>657</v>
      </c>
      <c r="B366" s="147" t="s">
        <v>417</v>
      </c>
      <c r="C366" s="147" t="s">
        <v>95</v>
      </c>
      <c r="D366" s="143" t="s">
        <v>807</v>
      </c>
      <c r="E366" s="147" t="s">
        <v>24</v>
      </c>
      <c r="F366" s="148">
        <v>150</v>
      </c>
      <c r="G366" s="149">
        <v>16.11</v>
      </c>
      <c r="H366" s="150">
        <f t="shared" si="7"/>
        <v>2416.5</v>
      </c>
    </row>
    <row r="367" spans="1:8" s="3" customFormat="1" ht="42.75" x14ac:dyDescent="0.25">
      <c r="A367" s="146" t="s">
        <v>658</v>
      </c>
      <c r="B367" s="147">
        <v>90460</v>
      </c>
      <c r="C367" s="147" t="s">
        <v>23</v>
      </c>
      <c r="D367" s="143" t="s">
        <v>418</v>
      </c>
      <c r="E367" s="147" t="s">
        <v>24</v>
      </c>
      <c r="F367" s="148">
        <v>30</v>
      </c>
      <c r="G367" s="149">
        <v>27.72</v>
      </c>
      <c r="H367" s="150">
        <f t="shared" si="7"/>
        <v>831.6</v>
      </c>
    </row>
    <row r="368" spans="1:8" s="3" customFormat="1" ht="15" x14ac:dyDescent="0.25">
      <c r="A368" s="98" t="s">
        <v>659</v>
      </c>
      <c r="B368" s="112"/>
      <c r="C368" s="100"/>
      <c r="D368" s="99" t="s">
        <v>225</v>
      </c>
      <c r="E368" s="101"/>
      <c r="F368" s="100"/>
      <c r="G368" s="101"/>
      <c r="H368" s="102"/>
    </row>
    <row r="369" spans="1:8" s="3" customFormat="1" ht="28.5" x14ac:dyDescent="0.25">
      <c r="A369" s="146" t="s">
        <v>660</v>
      </c>
      <c r="B369" s="88">
        <v>42425</v>
      </c>
      <c r="C369" s="87" t="s">
        <v>23</v>
      </c>
      <c r="D369" s="104" t="s">
        <v>453</v>
      </c>
      <c r="E369" s="147" t="s">
        <v>27</v>
      </c>
      <c r="F369" s="148">
        <v>9</v>
      </c>
      <c r="G369" s="103">
        <v>2595.9499999999998</v>
      </c>
      <c r="H369" s="150">
        <f t="shared" si="7"/>
        <v>23363.55</v>
      </c>
    </row>
    <row r="370" spans="1:8" s="3" customFormat="1" ht="28.5" x14ac:dyDescent="0.25">
      <c r="A370" s="146" t="s">
        <v>661</v>
      </c>
      <c r="B370" s="87">
        <v>42422</v>
      </c>
      <c r="C370" s="87" t="s">
        <v>23</v>
      </c>
      <c r="D370" s="105" t="s">
        <v>454</v>
      </c>
      <c r="E370" s="147" t="s">
        <v>27</v>
      </c>
      <c r="F370" s="148">
        <v>4</v>
      </c>
      <c r="G370" s="106">
        <v>3853.77</v>
      </c>
      <c r="H370" s="150">
        <f t="shared" si="7"/>
        <v>15415.08</v>
      </c>
    </row>
    <row r="371" spans="1:8" s="3" customFormat="1" ht="28.5" x14ac:dyDescent="0.25">
      <c r="A371" s="146" t="s">
        <v>662</v>
      </c>
      <c r="B371" s="88">
        <v>43184</v>
      </c>
      <c r="C371" s="88" t="s">
        <v>23</v>
      </c>
      <c r="D371" s="107" t="s">
        <v>455</v>
      </c>
      <c r="E371" s="147" t="s">
        <v>27</v>
      </c>
      <c r="F371" s="148">
        <v>2</v>
      </c>
      <c r="G371" s="103">
        <v>5326.28</v>
      </c>
      <c r="H371" s="150">
        <f>G371*F371</f>
        <v>10652.56</v>
      </c>
    </row>
    <row r="372" spans="1:8" s="3" customFormat="1" ht="15" x14ac:dyDescent="0.25">
      <c r="A372" s="93"/>
      <c r="B372" s="86"/>
      <c r="C372" s="86"/>
      <c r="D372" s="94" t="s">
        <v>438</v>
      </c>
      <c r="E372" s="95"/>
      <c r="F372" s="96"/>
      <c r="G372" s="95"/>
      <c r="H372" s="97">
        <f>SUM(H358:H371)</f>
        <v>80701.89</v>
      </c>
    </row>
    <row r="373" spans="1:8" s="3" customFormat="1" ht="15" x14ac:dyDescent="0.25">
      <c r="A373" s="89">
        <v>14</v>
      </c>
      <c r="B373" s="91"/>
      <c r="C373" s="91"/>
      <c r="D373" s="90" t="s">
        <v>451</v>
      </c>
      <c r="E373" s="90"/>
      <c r="F373" s="90"/>
      <c r="G373" s="90"/>
      <c r="H373" s="92"/>
    </row>
    <row r="374" spans="1:8" s="3" customFormat="1" ht="28.5" x14ac:dyDescent="0.25">
      <c r="A374" s="146" t="s">
        <v>663</v>
      </c>
      <c r="B374" s="88">
        <v>43971</v>
      </c>
      <c r="C374" s="87" t="s">
        <v>23</v>
      </c>
      <c r="D374" s="104" t="s">
        <v>456</v>
      </c>
      <c r="E374" s="147" t="s">
        <v>24</v>
      </c>
      <c r="F374" s="103">
        <v>3.16</v>
      </c>
      <c r="G374" s="149">
        <v>150</v>
      </c>
      <c r="H374" s="150">
        <f>G374*F374</f>
        <v>474</v>
      </c>
    </row>
    <row r="375" spans="1:8" s="3" customFormat="1" ht="14.25" x14ac:dyDescent="0.25">
      <c r="A375" s="146" t="s">
        <v>664</v>
      </c>
      <c r="B375" s="88">
        <v>43834</v>
      </c>
      <c r="C375" s="87" t="s">
        <v>23</v>
      </c>
      <c r="D375" s="104" t="s">
        <v>457</v>
      </c>
      <c r="E375" s="147" t="s">
        <v>24</v>
      </c>
      <c r="F375" s="103">
        <v>21.67</v>
      </c>
      <c r="G375" s="149">
        <v>150</v>
      </c>
      <c r="H375" s="150">
        <f>G375*F375</f>
        <v>3250.5</v>
      </c>
    </row>
    <row r="376" spans="1:8" s="3" customFormat="1" ht="15" x14ac:dyDescent="0.25">
      <c r="A376" s="93"/>
      <c r="B376" s="86"/>
      <c r="C376" s="86"/>
      <c r="D376" s="94" t="s">
        <v>438</v>
      </c>
      <c r="E376" s="95"/>
      <c r="F376" s="96"/>
      <c r="G376" s="95"/>
      <c r="H376" s="97">
        <f>SUM(H374:H375)</f>
        <v>3724.5</v>
      </c>
    </row>
    <row r="377" spans="1:8" s="3" customFormat="1" ht="15" x14ac:dyDescent="0.25">
      <c r="A377" s="89">
        <v>15</v>
      </c>
      <c r="B377" s="91"/>
      <c r="C377" s="91"/>
      <c r="D377" s="90" t="s">
        <v>419</v>
      </c>
      <c r="E377" s="90"/>
      <c r="F377" s="90"/>
      <c r="G377" s="90"/>
      <c r="H377" s="92"/>
    </row>
    <row r="378" spans="1:8" s="3" customFormat="1" ht="15" x14ac:dyDescent="0.25">
      <c r="A378" s="98" t="s">
        <v>665</v>
      </c>
      <c r="B378" s="112"/>
      <c r="C378" s="100"/>
      <c r="D378" s="99" t="s">
        <v>420</v>
      </c>
      <c r="E378" s="101"/>
      <c r="F378" s="100"/>
      <c r="G378" s="101"/>
      <c r="H378" s="102"/>
    </row>
    <row r="379" spans="1:8" s="3" customFormat="1" ht="28.5" x14ac:dyDescent="0.25">
      <c r="A379" s="146" t="s">
        <v>815</v>
      </c>
      <c r="B379" s="87">
        <v>104658</v>
      </c>
      <c r="C379" s="87" t="s">
        <v>23</v>
      </c>
      <c r="D379" s="105" t="s">
        <v>89</v>
      </c>
      <c r="E379" s="147" t="s">
        <v>100</v>
      </c>
      <c r="F379" s="148">
        <v>17.77</v>
      </c>
      <c r="G379" s="106">
        <v>185.13</v>
      </c>
      <c r="H379" s="150">
        <f t="shared" ref="H379:H407" si="8">G379*F379</f>
        <v>3289.76</v>
      </c>
    </row>
    <row r="380" spans="1:8" s="3" customFormat="1" ht="42.75" x14ac:dyDescent="0.25">
      <c r="A380" s="146" t="s">
        <v>816</v>
      </c>
      <c r="B380" s="87">
        <v>94276</v>
      </c>
      <c r="C380" s="87" t="s">
        <v>23</v>
      </c>
      <c r="D380" s="105" t="s">
        <v>421</v>
      </c>
      <c r="E380" s="147" t="s">
        <v>24</v>
      </c>
      <c r="F380" s="148">
        <v>35</v>
      </c>
      <c r="G380" s="106">
        <v>45.17</v>
      </c>
      <c r="H380" s="150">
        <f t="shared" si="8"/>
        <v>1580.95</v>
      </c>
    </row>
    <row r="381" spans="1:8" s="3" customFormat="1" ht="15" x14ac:dyDescent="0.25">
      <c r="A381" s="93"/>
      <c r="B381" s="86"/>
      <c r="C381" s="86"/>
      <c r="D381" s="94" t="s">
        <v>438</v>
      </c>
      <c r="E381" s="95"/>
      <c r="F381" s="96"/>
      <c r="G381" s="95"/>
      <c r="H381" s="97">
        <f>SUM(H378:H380)</f>
        <v>4870.71</v>
      </c>
    </row>
    <row r="382" spans="1:8" s="3" customFormat="1" ht="15" x14ac:dyDescent="0.25">
      <c r="A382" s="116">
        <v>16</v>
      </c>
      <c r="B382" s="117"/>
      <c r="C382" s="118"/>
      <c r="D382" s="119" t="s">
        <v>813</v>
      </c>
      <c r="E382" s="119"/>
      <c r="F382" s="119"/>
      <c r="G382" s="119"/>
      <c r="H382" s="120"/>
    </row>
    <row r="383" spans="1:8" s="141" customFormat="1" ht="15" x14ac:dyDescent="0.25">
      <c r="A383" s="98" t="s">
        <v>666</v>
      </c>
      <c r="B383" s="99"/>
      <c r="C383" s="112"/>
      <c r="D383" s="121" t="s">
        <v>814</v>
      </c>
      <c r="E383" s="122"/>
      <c r="F383" s="112"/>
      <c r="G383" s="122"/>
      <c r="H383" s="123"/>
    </row>
    <row r="384" spans="1:8" s="3" customFormat="1" ht="14.25" x14ac:dyDescent="0.25">
      <c r="A384" s="124" t="s">
        <v>667</v>
      </c>
      <c r="B384" s="108">
        <v>93358</v>
      </c>
      <c r="C384" s="87" t="s">
        <v>23</v>
      </c>
      <c r="D384" s="125" t="s">
        <v>25</v>
      </c>
      <c r="E384" s="126">
        <v>11</v>
      </c>
      <c r="F384" s="127" t="s">
        <v>812</v>
      </c>
      <c r="G384" s="110">
        <v>115.98</v>
      </c>
      <c r="H384" s="128">
        <f t="shared" ref="H384:H403" si="9">E384*G384</f>
        <v>1275.78</v>
      </c>
    </row>
    <row r="385" spans="1:10" s="3" customFormat="1" ht="42.75" x14ac:dyDescent="0.25">
      <c r="A385" s="113" t="s">
        <v>668</v>
      </c>
      <c r="B385" s="87">
        <v>100576</v>
      </c>
      <c r="C385" s="87" t="s">
        <v>23</v>
      </c>
      <c r="D385" s="105" t="s">
        <v>817</v>
      </c>
      <c r="E385" s="129">
        <v>28</v>
      </c>
      <c r="F385" s="130" t="s">
        <v>818</v>
      </c>
      <c r="G385" s="106">
        <v>2.16</v>
      </c>
      <c r="H385" s="131">
        <f t="shared" si="9"/>
        <v>60.48</v>
      </c>
    </row>
    <row r="386" spans="1:10" s="3" customFormat="1" ht="28.5" x14ac:dyDescent="0.25">
      <c r="A386" s="124" t="s">
        <v>848</v>
      </c>
      <c r="B386" s="87">
        <v>96619</v>
      </c>
      <c r="C386" s="87" t="s">
        <v>23</v>
      </c>
      <c r="D386" s="105" t="s">
        <v>819</v>
      </c>
      <c r="E386" s="129">
        <v>18</v>
      </c>
      <c r="F386" s="130" t="s">
        <v>22</v>
      </c>
      <c r="G386" s="106">
        <v>39.03</v>
      </c>
      <c r="H386" s="131">
        <f t="shared" si="9"/>
        <v>702.54</v>
      </c>
    </row>
    <row r="387" spans="1:10" s="3" customFormat="1" ht="14.25" x14ac:dyDescent="0.25">
      <c r="A387" s="113" t="s">
        <v>849</v>
      </c>
      <c r="B387" s="87" t="s">
        <v>820</v>
      </c>
      <c r="C387" s="147" t="s">
        <v>95</v>
      </c>
      <c r="D387" s="105" t="s">
        <v>821</v>
      </c>
      <c r="E387" s="129">
        <v>80</v>
      </c>
      <c r="F387" s="130" t="s">
        <v>22</v>
      </c>
      <c r="G387" s="106">
        <v>96.29</v>
      </c>
      <c r="H387" s="131">
        <f t="shared" si="9"/>
        <v>7703.2</v>
      </c>
    </row>
    <row r="388" spans="1:10" s="3" customFormat="1" ht="28.5" x14ac:dyDescent="0.25">
      <c r="A388" s="124" t="s">
        <v>850</v>
      </c>
      <c r="B388" s="87">
        <v>104918</v>
      </c>
      <c r="C388" s="87" t="s">
        <v>23</v>
      </c>
      <c r="D388" s="105" t="s">
        <v>822</v>
      </c>
      <c r="E388" s="129">
        <v>157</v>
      </c>
      <c r="F388" s="130" t="s">
        <v>32</v>
      </c>
      <c r="G388" s="106">
        <v>14.93</v>
      </c>
      <c r="H388" s="131">
        <f t="shared" si="9"/>
        <v>2344.0100000000002</v>
      </c>
    </row>
    <row r="389" spans="1:10" s="3" customFormat="1" ht="42.75" x14ac:dyDescent="0.25">
      <c r="A389" s="113" t="s">
        <v>851</v>
      </c>
      <c r="B389" s="87">
        <v>1525</v>
      </c>
      <c r="C389" s="87" t="s">
        <v>23</v>
      </c>
      <c r="D389" s="105" t="s">
        <v>823</v>
      </c>
      <c r="E389" s="129">
        <v>5.5</v>
      </c>
      <c r="F389" s="130" t="s">
        <v>812</v>
      </c>
      <c r="G389" s="106">
        <v>493.7</v>
      </c>
      <c r="H389" s="131">
        <f t="shared" si="9"/>
        <v>2715.35</v>
      </c>
    </row>
    <row r="390" spans="1:10" s="3" customFormat="1" ht="28.5" x14ac:dyDescent="0.25">
      <c r="A390" s="124" t="s">
        <v>852</v>
      </c>
      <c r="B390" s="87">
        <v>93382</v>
      </c>
      <c r="C390" s="87" t="s">
        <v>23</v>
      </c>
      <c r="D390" s="105" t="s">
        <v>26</v>
      </c>
      <c r="E390" s="129">
        <f>E384-E386*0.05-E389</f>
        <v>4.5999999999999996</v>
      </c>
      <c r="F390" s="130" t="s">
        <v>812</v>
      </c>
      <c r="G390" s="106">
        <v>32.78</v>
      </c>
      <c r="H390" s="131">
        <f t="shared" si="9"/>
        <v>150.79</v>
      </c>
    </row>
    <row r="391" spans="1:10" s="3" customFormat="1" ht="42.75" x14ac:dyDescent="0.25">
      <c r="A391" s="113" t="s">
        <v>853</v>
      </c>
      <c r="B391" s="87">
        <v>101166</v>
      </c>
      <c r="C391" s="87" t="s">
        <v>23</v>
      </c>
      <c r="D391" s="105" t="s">
        <v>824</v>
      </c>
      <c r="E391" s="129">
        <v>0.72</v>
      </c>
      <c r="F391" s="130" t="s">
        <v>812</v>
      </c>
      <c r="G391" s="106">
        <v>714.09</v>
      </c>
      <c r="H391" s="131">
        <f t="shared" si="9"/>
        <v>514.14</v>
      </c>
    </row>
    <row r="392" spans="1:10" s="3" customFormat="1" ht="28.5" x14ac:dyDescent="0.25">
      <c r="A392" s="124" t="s">
        <v>854</v>
      </c>
      <c r="B392" s="88">
        <v>98555</v>
      </c>
      <c r="C392" s="87" t="s">
        <v>23</v>
      </c>
      <c r="D392" s="111" t="s">
        <v>34</v>
      </c>
      <c r="E392" s="103">
        <v>72</v>
      </c>
      <c r="F392" s="88" t="s">
        <v>22</v>
      </c>
      <c r="G392" s="103">
        <v>35.770000000000003</v>
      </c>
      <c r="H392" s="132">
        <f t="shared" si="9"/>
        <v>2575.44</v>
      </c>
    </row>
    <row r="393" spans="1:10" s="141" customFormat="1" ht="15" x14ac:dyDescent="0.25">
      <c r="A393" s="98" t="s">
        <v>669</v>
      </c>
      <c r="B393" s="112"/>
      <c r="C393" s="112"/>
      <c r="D393" s="121" t="s">
        <v>825</v>
      </c>
      <c r="E393" s="122"/>
      <c r="F393" s="112"/>
      <c r="G393" s="122"/>
      <c r="H393" s="133"/>
    </row>
    <row r="394" spans="1:10" s="3" customFormat="1" ht="14.25" x14ac:dyDescent="0.25">
      <c r="A394" s="124" t="s">
        <v>670</v>
      </c>
      <c r="B394" s="108" t="s">
        <v>845</v>
      </c>
      <c r="C394" s="147" t="s">
        <v>95</v>
      </c>
      <c r="D394" s="125" t="s">
        <v>821</v>
      </c>
      <c r="E394" s="126">
        <v>20</v>
      </c>
      <c r="F394" s="127" t="s">
        <v>22</v>
      </c>
      <c r="G394" s="110">
        <v>96.29</v>
      </c>
      <c r="H394" s="128">
        <f t="shared" si="9"/>
        <v>1925.8</v>
      </c>
    </row>
    <row r="395" spans="1:10" s="3" customFormat="1" ht="28.5" x14ac:dyDescent="0.25">
      <c r="A395" s="113" t="s">
        <v>855</v>
      </c>
      <c r="B395" s="87">
        <v>92761</v>
      </c>
      <c r="C395" s="87" t="s">
        <v>23</v>
      </c>
      <c r="D395" s="134" t="s">
        <v>33</v>
      </c>
      <c r="E395" s="106">
        <v>163</v>
      </c>
      <c r="F395" s="87" t="s">
        <v>32</v>
      </c>
      <c r="G395" s="106">
        <v>12.51</v>
      </c>
      <c r="H395" s="131">
        <f t="shared" si="9"/>
        <v>2039.13</v>
      </c>
      <c r="J395" s="46"/>
    </row>
    <row r="396" spans="1:10" s="3" customFormat="1" ht="42.75" x14ac:dyDescent="0.25">
      <c r="A396" s="124" t="s">
        <v>856</v>
      </c>
      <c r="B396" s="87">
        <v>1525</v>
      </c>
      <c r="C396" s="87" t="s">
        <v>23</v>
      </c>
      <c r="D396" s="105" t="s">
        <v>823</v>
      </c>
      <c r="E396" s="129">
        <v>3.8</v>
      </c>
      <c r="F396" s="130" t="s">
        <v>812</v>
      </c>
      <c r="G396" s="106">
        <v>493.7</v>
      </c>
      <c r="H396" s="131">
        <f t="shared" si="9"/>
        <v>1876.06</v>
      </c>
    </row>
    <row r="397" spans="1:10" s="3" customFormat="1" ht="14.25" x14ac:dyDescent="0.25">
      <c r="A397" s="113" t="s">
        <v>857</v>
      </c>
      <c r="B397" s="87" t="s">
        <v>826</v>
      </c>
      <c r="C397" s="147" t="s">
        <v>95</v>
      </c>
      <c r="D397" s="135" t="s">
        <v>827</v>
      </c>
      <c r="E397" s="106">
        <v>365</v>
      </c>
      <c r="F397" s="87" t="s">
        <v>22</v>
      </c>
      <c r="G397" s="106">
        <v>12.23</v>
      </c>
      <c r="H397" s="131">
        <f t="shared" si="9"/>
        <v>4463.95</v>
      </c>
      <c r="J397" s="46"/>
    </row>
    <row r="398" spans="1:10" s="3" customFormat="1" ht="14.25" x14ac:dyDescent="0.25">
      <c r="A398" s="124" t="s">
        <v>858</v>
      </c>
      <c r="B398" s="87" t="s">
        <v>828</v>
      </c>
      <c r="C398" s="147" t="s">
        <v>95</v>
      </c>
      <c r="D398" s="135" t="s">
        <v>829</v>
      </c>
      <c r="E398" s="106">
        <v>365</v>
      </c>
      <c r="F398" s="87" t="s">
        <v>22</v>
      </c>
      <c r="G398" s="106">
        <v>6.66</v>
      </c>
      <c r="H398" s="131">
        <f t="shared" si="9"/>
        <v>2430.9</v>
      </c>
      <c r="J398" s="46"/>
    </row>
    <row r="399" spans="1:10" s="3" customFormat="1" ht="14.25" x14ac:dyDescent="0.25">
      <c r="A399" s="113" t="s">
        <v>859</v>
      </c>
      <c r="B399" s="87" t="s">
        <v>830</v>
      </c>
      <c r="C399" s="147" t="s">
        <v>95</v>
      </c>
      <c r="D399" s="135" t="s">
        <v>831</v>
      </c>
      <c r="E399" s="106">
        <v>365</v>
      </c>
      <c r="F399" s="87" t="s">
        <v>22</v>
      </c>
      <c r="G399" s="106">
        <v>21.73</v>
      </c>
      <c r="H399" s="131">
        <f t="shared" si="9"/>
        <v>7931.45</v>
      </c>
      <c r="J399" s="46"/>
    </row>
    <row r="400" spans="1:10" s="3" customFormat="1" ht="42.75" x14ac:dyDescent="0.25">
      <c r="A400" s="124" t="s">
        <v>860</v>
      </c>
      <c r="B400" s="87">
        <v>103360</v>
      </c>
      <c r="C400" s="87" t="s">
        <v>23</v>
      </c>
      <c r="D400" s="135" t="s">
        <v>832</v>
      </c>
      <c r="E400" s="106">
        <v>181</v>
      </c>
      <c r="F400" s="87" t="s">
        <v>22</v>
      </c>
      <c r="G400" s="106">
        <v>91.07</v>
      </c>
      <c r="H400" s="131">
        <f t="shared" si="9"/>
        <v>16483.669999999998</v>
      </c>
      <c r="J400" s="46"/>
    </row>
    <row r="401" spans="1:10" s="3" customFormat="1" ht="28.5" x14ac:dyDescent="0.25">
      <c r="A401" s="113" t="s">
        <v>861</v>
      </c>
      <c r="B401" s="87" t="s">
        <v>846</v>
      </c>
      <c r="C401" s="147" t="s">
        <v>95</v>
      </c>
      <c r="D401" s="135" t="s">
        <v>833</v>
      </c>
      <c r="E401" s="106">
        <v>182.85</v>
      </c>
      <c r="F401" s="87" t="s">
        <v>22</v>
      </c>
      <c r="G401" s="106">
        <v>121.48</v>
      </c>
      <c r="H401" s="131">
        <f t="shared" si="9"/>
        <v>22212.62</v>
      </c>
      <c r="J401" s="46"/>
    </row>
    <row r="402" spans="1:10" s="3" customFormat="1" ht="28.5" x14ac:dyDescent="0.25">
      <c r="A402" s="124" t="s">
        <v>862</v>
      </c>
      <c r="B402" s="88">
        <v>88489</v>
      </c>
      <c r="C402" s="87" t="s">
        <v>23</v>
      </c>
      <c r="D402" s="111" t="s">
        <v>834</v>
      </c>
      <c r="E402" s="103">
        <v>181</v>
      </c>
      <c r="F402" s="88" t="s">
        <v>22</v>
      </c>
      <c r="G402" s="103">
        <v>14.4</v>
      </c>
      <c r="H402" s="132">
        <f t="shared" si="9"/>
        <v>2606.4</v>
      </c>
    </row>
    <row r="403" spans="1:10" s="3" customFormat="1" ht="28.5" x14ac:dyDescent="0.25">
      <c r="A403" s="113" t="s">
        <v>863</v>
      </c>
      <c r="B403" s="87">
        <v>101966</v>
      </c>
      <c r="C403" s="87" t="s">
        <v>23</v>
      </c>
      <c r="D403" s="135" t="s">
        <v>835</v>
      </c>
      <c r="E403" s="106">
        <v>95</v>
      </c>
      <c r="F403" s="87" t="s">
        <v>24</v>
      </c>
      <c r="G403" s="106">
        <v>184.06</v>
      </c>
      <c r="H403" s="131">
        <f t="shared" si="9"/>
        <v>17485.7</v>
      </c>
      <c r="J403" s="46"/>
    </row>
    <row r="404" spans="1:10" s="3" customFormat="1" ht="15" x14ac:dyDescent="0.25">
      <c r="A404" s="93"/>
      <c r="B404" s="86"/>
      <c r="C404" s="86"/>
      <c r="D404" s="94" t="s">
        <v>438</v>
      </c>
      <c r="E404" s="95"/>
      <c r="F404" s="96"/>
      <c r="G404" s="95"/>
      <c r="H404" s="97">
        <f>SUM(H383:H403)</f>
        <v>97497.41</v>
      </c>
    </row>
    <row r="405" spans="1:10" s="3" customFormat="1" ht="15" x14ac:dyDescent="0.25">
      <c r="A405" s="89">
        <v>17</v>
      </c>
      <c r="B405" s="91"/>
      <c r="C405" s="91"/>
      <c r="D405" s="90" t="s">
        <v>81</v>
      </c>
      <c r="E405" s="90"/>
      <c r="F405" s="90"/>
      <c r="G405" s="90"/>
      <c r="H405" s="92"/>
    </row>
    <row r="406" spans="1:10" s="3" customFormat="1" ht="42.75" x14ac:dyDescent="0.25">
      <c r="A406" s="113" t="s">
        <v>671</v>
      </c>
      <c r="B406" s="87">
        <v>100982</v>
      </c>
      <c r="C406" s="87" t="s">
        <v>23</v>
      </c>
      <c r="D406" s="114" t="s">
        <v>811</v>
      </c>
      <c r="E406" s="106" t="s">
        <v>22</v>
      </c>
      <c r="F406" s="148">
        <v>3</v>
      </c>
      <c r="G406" s="106">
        <v>9.3800000000000008</v>
      </c>
      <c r="H406" s="150">
        <f t="shared" si="8"/>
        <v>28.14</v>
      </c>
    </row>
    <row r="407" spans="1:10" s="3" customFormat="1" ht="14.25" x14ac:dyDescent="0.25">
      <c r="A407" s="146" t="s">
        <v>844</v>
      </c>
      <c r="B407" s="147" t="s">
        <v>95</v>
      </c>
      <c r="C407" s="87" t="s">
        <v>31</v>
      </c>
      <c r="D407" s="105" t="s">
        <v>21</v>
      </c>
      <c r="E407" s="147" t="s">
        <v>100</v>
      </c>
      <c r="F407" s="148">
        <v>1040</v>
      </c>
      <c r="G407" s="106">
        <v>13</v>
      </c>
      <c r="H407" s="150">
        <f t="shared" si="8"/>
        <v>13520</v>
      </c>
    </row>
    <row r="408" spans="1:10" ht="15" x14ac:dyDescent="0.2">
      <c r="A408" s="93"/>
      <c r="B408" s="86"/>
      <c r="C408" s="86"/>
      <c r="D408" s="94" t="s">
        <v>438</v>
      </c>
      <c r="E408" s="95"/>
      <c r="F408" s="96"/>
      <c r="G408" s="95"/>
      <c r="H408" s="97">
        <f>SUM(H405:H407)</f>
        <v>13548.14</v>
      </c>
    </row>
    <row r="409" spans="1:10" ht="15" x14ac:dyDescent="0.2">
      <c r="A409" s="82"/>
      <c r="B409" s="83"/>
      <c r="C409" s="83"/>
      <c r="D409" s="83" t="s">
        <v>423</v>
      </c>
      <c r="E409" s="84"/>
      <c r="F409" s="84"/>
      <c r="G409" s="84"/>
      <c r="H409" s="85">
        <f>SUM(H408,H381,H376,H372,H356,H290,H185,H158,H131,H110,H105,H92,H78,H48,H31,H18,H404)</f>
        <v>2304470.4700000002</v>
      </c>
    </row>
    <row r="410" spans="1:10" ht="15" x14ac:dyDescent="0.2">
      <c r="A410" s="157" t="s">
        <v>424</v>
      </c>
      <c r="B410" s="158"/>
      <c r="C410" s="158"/>
      <c r="D410" s="158"/>
      <c r="E410" s="159"/>
      <c r="F410" s="159"/>
      <c r="G410" s="159"/>
      <c r="H410" s="140">
        <f>H409*1.2</f>
        <v>2765364.56</v>
      </c>
    </row>
    <row r="413" spans="1:10" ht="20.25" x14ac:dyDescent="0.2">
      <c r="H413" s="115"/>
    </row>
    <row r="415" spans="1:10" x14ac:dyDescent="0.2">
      <c r="F415" s="224" t="s">
        <v>92</v>
      </c>
      <c r="G415" s="223"/>
      <c r="H415" s="223"/>
    </row>
    <row r="416" spans="1:10" x14ac:dyDescent="0.2">
      <c r="F416" s="223"/>
      <c r="G416" s="223"/>
      <c r="H416" s="223"/>
    </row>
  </sheetData>
  <sheetProtection selectLockedCells="1" selectUnlockedCells="1"/>
  <dataConsolidate/>
  <mergeCells count="20">
    <mergeCell ref="F415:H416"/>
    <mergeCell ref="A3:H3"/>
    <mergeCell ref="D1:F2"/>
    <mergeCell ref="A1:C2"/>
    <mergeCell ref="D4:D5"/>
    <mergeCell ref="A6:D6"/>
    <mergeCell ref="A4:C5"/>
    <mergeCell ref="A410:D410"/>
    <mergeCell ref="E410:G410"/>
    <mergeCell ref="G9:G10"/>
    <mergeCell ref="H9:H10"/>
    <mergeCell ref="E4:G8"/>
    <mergeCell ref="A8:D8"/>
    <mergeCell ref="A7:D7"/>
    <mergeCell ref="A9:A10"/>
    <mergeCell ref="D9:D10"/>
    <mergeCell ref="E9:E10"/>
    <mergeCell ref="C9:C10"/>
    <mergeCell ref="F9:F10"/>
    <mergeCell ref="B9:B10"/>
  </mergeCells>
  <phoneticPr fontId="12" type="noConversion"/>
  <conditionalFormatting sqref="D384:F391">
    <cfRule type="expression" dxfId="26" priority="7" stopIfTrue="1">
      <formula>#REF!&lt;3</formula>
    </cfRule>
    <cfRule type="expression" dxfId="25" priority="8" stopIfTrue="1">
      <formula>#REF!=3</formula>
    </cfRule>
    <cfRule type="expression" dxfId="24" priority="9" stopIfTrue="1">
      <formula>#REF!&lt;7</formula>
    </cfRule>
  </conditionalFormatting>
  <conditionalFormatting sqref="D394:F394">
    <cfRule type="expression" dxfId="23" priority="4" stopIfTrue="1">
      <formula>#REF!&lt;3</formula>
    </cfRule>
    <cfRule type="expression" dxfId="22" priority="5" stopIfTrue="1">
      <formula>#REF!=3</formula>
    </cfRule>
    <cfRule type="expression" dxfId="21" priority="6" stopIfTrue="1">
      <formula>#REF!&lt;7</formula>
    </cfRule>
  </conditionalFormatting>
  <conditionalFormatting sqref="D396:F396">
    <cfRule type="expression" dxfId="20" priority="1" stopIfTrue="1">
      <formula>#REF!&lt;3</formula>
    </cfRule>
    <cfRule type="expression" dxfId="19" priority="2" stopIfTrue="1">
      <formula>#REF!=3</formula>
    </cfRule>
    <cfRule type="expression" dxfId="18" priority="3" stopIfTrue="1">
      <formula>#REF!&lt;7</formula>
    </cfRule>
  </conditionalFormatting>
  <printOptions horizontalCentered="1"/>
  <pageMargins left="0.19685039370078741" right="0" top="0.19685039370078741" bottom="0.31496062992125984" header="0.27559055118110237" footer="0.15748031496062992"/>
  <pageSetup paperSize="9" scale="55" firstPageNumber="0" fitToHeight="0" orientation="portrait" r:id="rId1"/>
  <headerFooter scaleWithDoc="0" alignWithMargins="0">
    <oddFooter>&amp;C&amp;8Página &amp;P de &amp;N</oddFooter>
  </headerFooter>
  <rowBreaks count="3" manualBreakCount="3">
    <brk id="99" max="16383" man="1"/>
    <brk id="196" max="16383" man="1"/>
    <brk id="228" max="16383" man="1"/>
  </rowBreaks>
  <ignoredErrors>
    <ignoredError sqref="B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9959-AE7F-4E81-8F0D-C5EAF5C09C8B}">
  <sheetPr>
    <pageSetUpPr fitToPage="1"/>
  </sheetPr>
  <dimension ref="A1:AA500"/>
  <sheetViews>
    <sheetView showGridLines="0" topLeftCell="A25" zoomScale="85" zoomScaleNormal="85" zoomScaleSheetLayoutView="100" workbookViewId="0">
      <selection activeCell="O44" sqref="O44"/>
    </sheetView>
  </sheetViews>
  <sheetFormatPr defaultColWidth="8.42578125" defaultRowHeight="12.75" x14ac:dyDescent="0.2"/>
  <cols>
    <col min="1" max="1" width="6.5703125" style="1" customWidth="1"/>
    <col min="2" max="2" width="32.85546875" style="1" customWidth="1"/>
    <col min="3" max="3" width="17" style="7" bestFit="1" customWidth="1"/>
    <col min="4" max="4" width="9.42578125" style="3" bestFit="1" customWidth="1"/>
    <col min="5" max="5" width="12.5703125" style="1" bestFit="1" customWidth="1"/>
    <col min="6" max="6" width="6.42578125" style="1" bestFit="1" customWidth="1"/>
    <col min="7" max="7" width="13.7109375" style="2" bestFit="1" customWidth="1"/>
    <col min="8" max="8" width="6.42578125" style="2" bestFit="1" customWidth="1"/>
    <col min="9" max="9" width="13.7109375" style="1" bestFit="1" customWidth="1"/>
    <col min="10" max="10" width="7" style="1" bestFit="1" customWidth="1"/>
    <col min="11" max="11" width="13.7109375" style="1" bestFit="1" customWidth="1"/>
    <col min="12" max="12" width="7.42578125" style="1" bestFit="1" customWidth="1"/>
    <col min="13" max="13" width="15" style="1" bestFit="1" customWidth="1"/>
    <col min="14" max="14" width="7" style="1" bestFit="1" customWidth="1"/>
    <col min="15" max="15" width="15" style="1" bestFit="1" customWidth="1"/>
    <col min="16" max="16" width="7.42578125" style="1" bestFit="1" customWidth="1"/>
    <col min="17" max="17" width="15" style="1" bestFit="1" customWidth="1"/>
    <col min="18" max="18" width="7" style="1" bestFit="1" customWidth="1"/>
    <col min="19" max="19" width="15" style="1" bestFit="1" customWidth="1"/>
    <col min="20" max="20" width="7.42578125" style="1" bestFit="1" customWidth="1"/>
    <col min="21" max="21" width="14.5703125" style="1" bestFit="1" customWidth="1"/>
    <col min="22" max="22" width="7" style="1" bestFit="1" customWidth="1"/>
    <col min="23" max="23" width="15" style="1" bestFit="1" customWidth="1"/>
    <col min="24" max="24" width="7.7109375" style="1" bestFit="1" customWidth="1"/>
    <col min="25" max="26" width="8.42578125" style="1"/>
    <col min="27" max="27" width="14.5703125" style="1" bestFit="1" customWidth="1"/>
    <col min="28" max="248" width="8.42578125" style="1"/>
    <col min="249" max="249" width="8.85546875" style="1" customWidth="1"/>
    <col min="250" max="250" width="81" style="1" customWidth="1"/>
    <col min="251" max="251" width="8.5703125" style="1" customWidth="1"/>
    <col min="252" max="252" width="16.85546875" style="1" customWidth="1"/>
    <col min="253" max="253" width="16" style="1" customWidth="1"/>
    <col min="254" max="254" width="20.140625" style="1" customWidth="1"/>
    <col min="255" max="255" width="20" style="1" customWidth="1"/>
    <col min="256" max="256" width="17.28515625" style="1" customWidth="1"/>
    <col min="257" max="257" width="0" style="1" hidden="1" customWidth="1"/>
    <col min="258" max="258" width="1.5703125" style="1" customWidth="1"/>
    <col min="259" max="260" width="8.42578125" style="1"/>
    <col min="261" max="261" width="12.42578125" style="1" bestFit="1" customWidth="1"/>
    <col min="262" max="265" width="8.42578125" style="1"/>
    <col min="266" max="266" width="57" style="1" customWidth="1"/>
    <col min="267" max="504" width="8.42578125" style="1"/>
    <col min="505" max="505" width="8.85546875" style="1" customWidth="1"/>
    <col min="506" max="506" width="81" style="1" customWidth="1"/>
    <col min="507" max="507" width="8.5703125" style="1" customWidth="1"/>
    <col min="508" max="508" width="16.85546875" style="1" customWidth="1"/>
    <col min="509" max="509" width="16" style="1" customWidth="1"/>
    <col min="510" max="510" width="20.140625" style="1" customWidth="1"/>
    <col min="511" max="511" width="20" style="1" customWidth="1"/>
    <col min="512" max="512" width="17.28515625" style="1" customWidth="1"/>
    <col min="513" max="513" width="0" style="1" hidden="1" customWidth="1"/>
    <col min="514" max="514" width="1.5703125" style="1" customWidth="1"/>
    <col min="515" max="516" width="8.42578125" style="1"/>
    <col min="517" max="517" width="12.42578125" style="1" bestFit="1" customWidth="1"/>
    <col min="518" max="521" width="8.42578125" style="1"/>
    <col min="522" max="522" width="57" style="1" customWidth="1"/>
    <col min="523" max="760" width="8.42578125" style="1"/>
    <col min="761" max="761" width="8.85546875" style="1" customWidth="1"/>
    <col min="762" max="762" width="81" style="1" customWidth="1"/>
    <col min="763" max="763" width="8.5703125" style="1" customWidth="1"/>
    <col min="764" max="764" width="16.85546875" style="1" customWidth="1"/>
    <col min="765" max="765" width="16" style="1" customWidth="1"/>
    <col min="766" max="766" width="20.140625" style="1" customWidth="1"/>
    <col min="767" max="767" width="20" style="1" customWidth="1"/>
    <col min="768" max="768" width="17.28515625" style="1" customWidth="1"/>
    <col min="769" max="769" width="0" style="1" hidden="1" customWidth="1"/>
    <col min="770" max="770" width="1.5703125" style="1" customWidth="1"/>
    <col min="771" max="772" width="8.42578125" style="1"/>
    <col min="773" max="773" width="12.42578125" style="1" bestFit="1" customWidth="1"/>
    <col min="774" max="777" width="8.42578125" style="1"/>
    <col min="778" max="778" width="57" style="1" customWidth="1"/>
    <col min="779" max="1016" width="8.42578125" style="1"/>
    <col min="1017" max="1017" width="8.85546875" style="1" customWidth="1"/>
    <col min="1018" max="1018" width="81" style="1" customWidth="1"/>
    <col min="1019" max="1019" width="8.5703125" style="1" customWidth="1"/>
    <col min="1020" max="1020" width="16.85546875" style="1" customWidth="1"/>
    <col min="1021" max="1021" width="16" style="1" customWidth="1"/>
    <col min="1022" max="1022" width="20.140625" style="1" customWidth="1"/>
    <col min="1023" max="1023" width="20" style="1" customWidth="1"/>
    <col min="1024" max="1024" width="17.28515625" style="1" customWidth="1"/>
    <col min="1025" max="1025" width="0" style="1" hidden="1" customWidth="1"/>
    <col min="1026" max="1026" width="1.5703125" style="1" customWidth="1"/>
    <col min="1027" max="1028" width="8.42578125" style="1"/>
    <col min="1029" max="1029" width="12.42578125" style="1" bestFit="1" customWidth="1"/>
    <col min="1030" max="1033" width="8.42578125" style="1"/>
    <col min="1034" max="1034" width="57" style="1" customWidth="1"/>
    <col min="1035" max="1272" width="8.42578125" style="1"/>
    <col min="1273" max="1273" width="8.85546875" style="1" customWidth="1"/>
    <col min="1274" max="1274" width="81" style="1" customWidth="1"/>
    <col min="1275" max="1275" width="8.5703125" style="1" customWidth="1"/>
    <col min="1276" max="1276" width="16.85546875" style="1" customWidth="1"/>
    <col min="1277" max="1277" width="16" style="1" customWidth="1"/>
    <col min="1278" max="1278" width="20.140625" style="1" customWidth="1"/>
    <col min="1279" max="1279" width="20" style="1" customWidth="1"/>
    <col min="1280" max="1280" width="17.28515625" style="1" customWidth="1"/>
    <col min="1281" max="1281" width="0" style="1" hidden="1" customWidth="1"/>
    <col min="1282" max="1282" width="1.5703125" style="1" customWidth="1"/>
    <col min="1283" max="1284" width="8.42578125" style="1"/>
    <col min="1285" max="1285" width="12.42578125" style="1" bestFit="1" customWidth="1"/>
    <col min="1286" max="1289" width="8.42578125" style="1"/>
    <col min="1290" max="1290" width="57" style="1" customWidth="1"/>
    <col min="1291" max="1528" width="8.42578125" style="1"/>
    <col min="1529" max="1529" width="8.85546875" style="1" customWidth="1"/>
    <col min="1530" max="1530" width="81" style="1" customWidth="1"/>
    <col min="1531" max="1531" width="8.5703125" style="1" customWidth="1"/>
    <col min="1532" max="1532" width="16.85546875" style="1" customWidth="1"/>
    <col min="1533" max="1533" width="16" style="1" customWidth="1"/>
    <col min="1534" max="1534" width="20.140625" style="1" customWidth="1"/>
    <col min="1535" max="1535" width="20" style="1" customWidth="1"/>
    <col min="1536" max="1536" width="17.28515625" style="1" customWidth="1"/>
    <col min="1537" max="1537" width="0" style="1" hidden="1" customWidth="1"/>
    <col min="1538" max="1538" width="1.5703125" style="1" customWidth="1"/>
    <col min="1539" max="1540" width="8.42578125" style="1"/>
    <col min="1541" max="1541" width="12.42578125" style="1" bestFit="1" customWidth="1"/>
    <col min="1542" max="1545" width="8.42578125" style="1"/>
    <col min="1546" max="1546" width="57" style="1" customWidth="1"/>
    <col min="1547" max="1784" width="8.42578125" style="1"/>
    <col min="1785" max="1785" width="8.85546875" style="1" customWidth="1"/>
    <col min="1786" max="1786" width="81" style="1" customWidth="1"/>
    <col min="1787" max="1787" width="8.5703125" style="1" customWidth="1"/>
    <col min="1788" max="1788" width="16.85546875" style="1" customWidth="1"/>
    <col min="1789" max="1789" width="16" style="1" customWidth="1"/>
    <col min="1790" max="1790" width="20.140625" style="1" customWidth="1"/>
    <col min="1791" max="1791" width="20" style="1" customWidth="1"/>
    <col min="1792" max="1792" width="17.28515625" style="1" customWidth="1"/>
    <col min="1793" max="1793" width="0" style="1" hidden="1" customWidth="1"/>
    <col min="1794" max="1794" width="1.5703125" style="1" customWidth="1"/>
    <col min="1795" max="1796" width="8.42578125" style="1"/>
    <col min="1797" max="1797" width="12.42578125" style="1" bestFit="1" customWidth="1"/>
    <col min="1798" max="1801" width="8.42578125" style="1"/>
    <col min="1802" max="1802" width="57" style="1" customWidth="1"/>
    <col min="1803" max="2040" width="8.42578125" style="1"/>
    <col min="2041" max="2041" width="8.85546875" style="1" customWidth="1"/>
    <col min="2042" max="2042" width="81" style="1" customWidth="1"/>
    <col min="2043" max="2043" width="8.5703125" style="1" customWidth="1"/>
    <col min="2044" max="2044" width="16.85546875" style="1" customWidth="1"/>
    <col min="2045" max="2045" width="16" style="1" customWidth="1"/>
    <col min="2046" max="2046" width="20.140625" style="1" customWidth="1"/>
    <col min="2047" max="2047" width="20" style="1" customWidth="1"/>
    <col min="2048" max="2048" width="17.28515625" style="1" customWidth="1"/>
    <col min="2049" max="2049" width="0" style="1" hidden="1" customWidth="1"/>
    <col min="2050" max="2050" width="1.5703125" style="1" customWidth="1"/>
    <col min="2051" max="2052" width="8.42578125" style="1"/>
    <col min="2053" max="2053" width="12.42578125" style="1" bestFit="1" customWidth="1"/>
    <col min="2054" max="2057" width="8.42578125" style="1"/>
    <col min="2058" max="2058" width="57" style="1" customWidth="1"/>
    <col min="2059" max="2296" width="8.42578125" style="1"/>
    <col min="2297" max="2297" width="8.85546875" style="1" customWidth="1"/>
    <col min="2298" max="2298" width="81" style="1" customWidth="1"/>
    <col min="2299" max="2299" width="8.5703125" style="1" customWidth="1"/>
    <col min="2300" max="2300" width="16.85546875" style="1" customWidth="1"/>
    <col min="2301" max="2301" width="16" style="1" customWidth="1"/>
    <col min="2302" max="2302" width="20.140625" style="1" customWidth="1"/>
    <col min="2303" max="2303" width="20" style="1" customWidth="1"/>
    <col min="2304" max="2304" width="17.28515625" style="1" customWidth="1"/>
    <col min="2305" max="2305" width="0" style="1" hidden="1" customWidth="1"/>
    <col min="2306" max="2306" width="1.5703125" style="1" customWidth="1"/>
    <col min="2307" max="2308" width="8.42578125" style="1"/>
    <col min="2309" max="2309" width="12.42578125" style="1" bestFit="1" customWidth="1"/>
    <col min="2310" max="2313" width="8.42578125" style="1"/>
    <col min="2314" max="2314" width="57" style="1" customWidth="1"/>
    <col min="2315" max="2552" width="8.42578125" style="1"/>
    <col min="2553" max="2553" width="8.85546875" style="1" customWidth="1"/>
    <col min="2554" max="2554" width="81" style="1" customWidth="1"/>
    <col min="2555" max="2555" width="8.5703125" style="1" customWidth="1"/>
    <col min="2556" max="2556" width="16.85546875" style="1" customWidth="1"/>
    <col min="2557" max="2557" width="16" style="1" customWidth="1"/>
    <col min="2558" max="2558" width="20.140625" style="1" customWidth="1"/>
    <col min="2559" max="2559" width="20" style="1" customWidth="1"/>
    <col min="2560" max="2560" width="17.28515625" style="1" customWidth="1"/>
    <col min="2561" max="2561" width="0" style="1" hidden="1" customWidth="1"/>
    <col min="2562" max="2562" width="1.5703125" style="1" customWidth="1"/>
    <col min="2563" max="2564" width="8.42578125" style="1"/>
    <col min="2565" max="2565" width="12.42578125" style="1" bestFit="1" customWidth="1"/>
    <col min="2566" max="2569" width="8.42578125" style="1"/>
    <col min="2570" max="2570" width="57" style="1" customWidth="1"/>
    <col min="2571" max="2808" width="8.42578125" style="1"/>
    <col min="2809" max="2809" width="8.85546875" style="1" customWidth="1"/>
    <col min="2810" max="2810" width="81" style="1" customWidth="1"/>
    <col min="2811" max="2811" width="8.5703125" style="1" customWidth="1"/>
    <col min="2812" max="2812" width="16.85546875" style="1" customWidth="1"/>
    <col min="2813" max="2813" width="16" style="1" customWidth="1"/>
    <col min="2814" max="2814" width="20.140625" style="1" customWidth="1"/>
    <col min="2815" max="2815" width="20" style="1" customWidth="1"/>
    <col min="2816" max="2816" width="17.28515625" style="1" customWidth="1"/>
    <col min="2817" max="2817" width="0" style="1" hidden="1" customWidth="1"/>
    <col min="2818" max="2818" width="1.5703125" style="1" customWidth="1"/>
    <col min="2819" max="2820" width="8.42578125" style="1"/>
    <col min="2821" max="2821" width="12.42578125" style="1" bestFit="1" customWidth="1"/>
    <col min="2822" max="2825" width="8.42578125" style="1"/>
    <col min="2826" max="2826" width="57" style="1" customWidth="1"/>
    <col min="2827" max="3064" width="8.42578125" style="1"/>
    <col min="3065" max="3065" width="8.85546875" style="1" customWidth="1"/>
    <col min="3066" max="3066" width="81" style="1" customWidth="1"/>
    <col min="3067" max="3067" width="8.5703125" style="1" customWidth="1"/>
    <col min="3068" max="3068" width="16.85546875" style="1" customWidth="1"/>
    <col min="3069" max="3069" width="16" style="1" customWidth="1"/>
    <col min="3070" max="3070" width="20.140625" style="1" customWidth="1"/>
    <col min="3071" max="3071" width="20" style="1" customWidth="1"/>
    <col min="3072" max="3072" width="17.28515625" style="1" customWidth="1"/>
    <col min="3073" max="3073" width="0" style="1" hidden="1" customWidth="1"/>
    <col min="3074" max="3074" width="1.5703125" style="1" customWidth="1"/>
    <col min="3075" max="3076" width="8.42578125" style="1"/>
    <col min="3077" max="3077" width="12.42578125" style="1" bestFit="1" customWidth="1"/>
    <col min="3078" max="3081" width="8.42578125" style="1"/>
    <col min="3082" max="3082" width="57" style="1" customWidth="1"/>
    <col min="3083" max="3320" width="8.42578125" style="1"/>
    <col min="3321" max="3321" width="8.85546875" style="1" customWidth="1"/>
    <col min="3322" max="3322" width="81" style="1" customWidth="1"/>
    <col min="3323" max="3323" width="8.5703125" style="1" customWidth="1"/>
    <col min="3324" max="3324" width="16.85546875" style="1" customWidth="1"/>
    <col min="3325" max="3325" width="16" style="1" customWidth="1"/>
    <col min="3326" max="3326" width="20.140625" style="1" customWidth="1"/>
    <col min="3327" max="3327" width="20" style="1" customWidth="1"/>
    <col min="3328" max="3328" width="17.28515625" style="1" customWidth="1"/>
    <col min="3329" max="3329" width="0" style="1" hidden="1" customWidth="1"/>
    <col min="3330" max="3330" width="1.5703125" style="1" customWidth="1"/>
    <col min="3331" max="3332" width="8.42578125" style="1"/>
    <col min="3333" max="3333" width="12.42578125" style="1" bestFit="1" customWidth="1"/>
    <col min="3334" max="3337" width="8.42578125" style="1"/>
    <col min="3338" max="3338" width="57" style="1" customWidth="1"/>
    <col min="3339" max="3576" width="8.42578125" style="1"/>
    <col min="3577" max="3577" width="8.85546875" style="1" customWidth="1"/>
    <col min="3578" max="3578" width="81" style="1" customWidth="1"/>
    <col min="3579" max="3579" width="8.5703125" style="1" customWidth="1"/>
    <col min="3580" max="3580" width="16.85546875" style="1" customWidth="1"/>
    <col min="3581" max="3581" width="16" style="1" customWidth="1"/>
    <col min="3582" max="3582" width="20.140625" style="1" customWidth="1"/>
    <col min="3583" max="3583" width="20" style="1" customWidth="1"/>
    <col min="3584" max="3584" width="17.28515625" style="1" customWidth="1"/>
    <col min="3585" max="3585" width="0" style="1" hidden="1" customWidth="1"/>
    <col min="3586" max="3586" width="1.5703125" style="1" customWidth="1"/>
    <col min="3587" max="3588" width="8.42578125" style="1"/>
    <col min="3589" max="3589" width="12.42578125" style="1" bestFit="1" customWidth="1"/>
    <col min="3590" max="3593" width="8.42578125" style="1"/>
    <col min="3594" max="3594" width="57" style="1" customWidth="1"/>
    <col min="3595" max="3832" width="8.42578125" style="1"/>
    <col min="3833" max="3833" width="8.85546875" style="1" customWidth="1"/>
    <col min="3834" max="3834" width="81" style="1" customWidth="1"/>
    <col min="3835" max="3835" width="8.5703125" style="1" customWidth="1"/>
    <col min="3836" max="3836" width="16.85546875" style="1" customWidth="1"/>
    <col min="3837" max="3837" width="16" style="1" customWidth="1"/>
    <col min="3838" max="3838" width="20.140625" style="1" customWidth="1"/>
    <col min="3839" max="3839" width="20" style="1" customWidth="1"/>
    <col min="3840" max="3840" width="17.28515625" style="1" customWidth="1"/>
    <col min="3841" max="3841" width="0" style="1" hidden="1" customWidth="1"/>
    <col min="3842" max="3842" width="1.5703125" style="1" customWidth="1"/>
    <col min="3843" max="3844" width="8.42578125" style="1"/>
    <col min="3845" max="3845" width="12.42578125" style="1" bestFit="1" customWidth="1"/>
    <col min="3846" max="3849" width="8.42578125" style="1"/>
    <col min="3850" max="3850" width="57" style="1" customWidth="1"/>
    <col min="3851" max="4088" width="8.42578125" style="1"/>
    <col min="4089" max="4089" width="8.85546875" style="1" customWidth="1"/>
    <col min="4090" max="4090" width="81" style="1" customWidth="1"/>
    <col min="4091" max="4091" width="8.5703125" style="1" customWidth="1"/>
    <col min="4092" max="4092" width="16.85546875" style="1" customWidth="1"/>
    <col min="4093" max="4093" width="16" style="1" customWidth="1"/>
    <col min="4094" max="4094" width="20.140625" style="1" customWidth="1"/>
    <col min="4095" max="4095" width="20" style="1" customWidth="1"/>
    <col min="4096" max="4096" width="17.28515625" style="1" customWidth="1"/>
    <col min="4097" max="4097" width="0" style="1" hidden="1" customWidth="1"/>
    <col min="4098" max="4098" width="1.5703125" style="1" customWidth="1"/>
    <col min="4099" max="4100" width="8.42578125" style="1"/>
    <col min="4101" max="4101" width="12.42578125" style="1" bestFit="1" customWidth="1"/>
    <col min="4102" max="4105" width="8.42578125" style="1"/>
    <col min="4106" max="4106" width="57" style="1" customWidth="1"/>
    <col min="4107" max="4344" width="8.42578125" style="1"/>
    <col min="4345" max="4345" width="8.85546875" style="1" customWidth="1"/>
    <col min="4346" max="4346" width="81" style="1" customWidth="1"/>
    <col min="4347" max="4347" width="8.5703125" style="1" customWidth="1"/>
    <col min="4348" max="4348" width="16.85546875" style="1" customWidth="1"/>
    <col min="4349" max="4349" width="16" style="1" customWidth="1"/>
    <col min="4350" max="4350" width="20.140625" style="1" customWidth="1"/>
    <col min="4351" max="4351" width="20" style="1" customWidth="1"/>
    <col min="4352" max="4352" width="17.28515625" style="1" customWidth="1"/>
    <col min="4353" max="4353" width="0" style="1" hidden="1" customWidth="1"/>
    <col min="4354" max="4354" width="1.5703125" style="1" customWidth="1"/>
    <col min="4355" max="4356" width="8.42578125" style="1"/>
    <col min="4357" max="4357" width="12.42578125" style="1" bestFit="1" customWidth="1"/>
    <col min="4358" max="4361" width="8.42578125" style="1"/>
    <col min="4362" max="4362" width="57" style="1" customWidth="1"/>
    <col min="4363" max="4600" width="8.42578125" style="1"/>
    <col min="4601" max="4601" width="8.85546875" style="1" customWidth="1"/>
    <col min="4602" max="4602" width="81" style="1" customWidth="1"/>
    <col min="4603" max="4603" width="8.5703125" style="1" customWidth="1"/>
    <col min="4604" max="4604" width="16.85546875" style="1" customWidth="1"/>
    <col min="4605" max="4605" width="16" style="1" customWidth="1"/>
    <col min="4606" max="4606" width="20.140625" style="1" customWidth="1"/>
    <col min="4607" max="4607" width="20" style="1" customWidth="1"/>
    <col min="4608" max="4608" width="17.28515625" style="1" customWidth="1"/>
    <col min="4609" max="4609" width="0" style="1" hidden="1" customWidth="1"/>
    <col min="4610" max="4610" width="1.5703125" style="1" customWidth="1"/>
    <col min="4611" max="4612" width="8.42578125" style="1"/>
    <col min="4613" max="4613" width="12.42578125" style="1" bestFit="1" customWidth="1"/>
    <col min="4614" max="4617" width="8.42578125" style="1"/>
    <col min="4618" max="4618" width="57" style="1" customWidth="1"/>
    <col min="4619" max="4856" width="8.42578125" style="1"/>
    <col min="4857" max="4857" width="8.85546875" style="1" customWidth="1"/>
    <col min="4858" max="4858" width="81" style="1" customWidth="1"/>
    <col min="4859" max="4859" width="8.5703125" style="1" customWidth="1"/>
    <col min="4860" max="4860" width="16.85546875" style="1" customWidth="1"/>
    <col min="4861" max="4861" width="16" style="1" customWidth="1"/>
    <col min="4862" max="4862" width="20.140625" style="1" customWidth="1"/>
    <col min="4863" max="4863" width="20" style="1" customWidth="1"/>
    <col min="4864" max="4864" width="17.28515625" style="1" customWidth="1"/>
    <col min="4865" max="4865" width="0" style="1" hidden="1" customWidth="1"/>
    <col min="4866" max="4866" width="1.5703125" style="1" customWidth="1"/>
    <col min="4867" max="4868" width="8.42578125" style="1"/>
    <col min="4869" max="4869" width="12.42578125" style="1" bestFit="1" customWidth="1"/>
    <col min="4870" max="4873" width="8.42578125" style="1"/>
    <col min="4874" max="4874" width="57" style="1" customWidth="1"/>
    <col min="4875" max="5112" width="8.42578125" style="1"/>
    <col min="5113" max="5113" width="8.85546875" style="1" customWidth="1"/>
    <col min="5114" max="5114" width="81" style="1" customWidth="1"/>
    <col min="5115" max="5115" width="8.5703125" style="1" customWidth="1"/>
    <col min="5116" max="5116" width="16.85546875" style="1" customWidth="1"/>
    <col min="5117" max="5117" width="16" style="1" customWidth="1"/>
    <col min="5118" max="5118" width="20.140625" style="1" customWidth="1"/>
    <col min="5119" max="5119" width="20" style="1" customWidth="1"/>
    <col min="5120" max="5120" width="17.28515625" style="1" customWidth="1"/>
    <col min="5121" max="5121" width="0" style="1" hidden="1" customWidth="1"/>
    <col min="5122" max="5122" width="1.5703125" style="1" customWidth="1"/>
    <col min="5123" max="5124" width="8.42578125" style="1"/>
    <col min="5125" max="5125" width="12.42578125" style="1" bestFit="1" customWidth="1"/>
    <col min="5126" max="5129" width="8.42578125" style="1"/>
    <col min="5130" max="5130" width="57" style="1" customWidth="1"/>
    <col min="5131" max="5368" width="8.42578125" style="1"/>
    <col min="5369" max="5369" width="8.85546875" style="1" customWidth="1"/>
    <col min="5370" max="5370" width="81" style="1" customWidth="1"/>
    <col min="5371" max="5371" width="8.5703125" style="1" customWidth="1"/>
    <col min="5372" max="5372" width="16.85546875" style="1" customWidth="1"/>
    <col min="5373" max="5373" width="16" style="1" customWidth="1"/>
    <col min="5374" max="5374" width="20.140625" style="1" customWidth="1"/>
    <col min="5375" max="5375" width="20" style="1" customWidth="1"/>
    <col min="5376" max="5376" width="17.28515625" style="1" customWidth="1"/>
    <col min="5377" max="5377" width="0" style="1" hidden="1" customWidth="1"/>
    <col min="5378" max="5378" width="1.5703125" style="1" customWidth="1"/>
    <col min="5379" max="5380" width="8.42578125" style="1"/>
    <col min="5381" max="5381" width="12.42578125" style="1" bestFit="1" customWidth="1"/>
    <col min="5382" max="5385" width="8.42578125" style="1"/>
    <col min="5386" max="5386" width="57" style="1" customWidth="1"/>
    <col min="5387" max="5624" width="8.42578125" style="1"/>
    <col min="5625" max="5625" width="8.85546875" style="1" customWidth="1"/>
    <col min="5626" max="5626" width="81" style="1" customWidth="1"/>
    <col min="5627" max="5627" width="8.5703125" style="1" customWidth="1"/>
    <col min="5628" max="5628" width="16.85546875" style="1" customWidth="1"/>
    <col min="5629" max="5629" width="16" style="1" customWidth="1"/>
    <col min="5630" max="5630" width="20.140625" style="1" customWidth="1"/>
    <col min="5631" max="5631" width="20" style="1" customWidth="1"/>
    <col min="5632" max="5632" width="17.28515625" style="1" customWidth="1"/>
    <col min="5633" max="5633" width="0" style="1" hidden="1" customWidth="1"/>
    <col min="5634" max="5634" width="1.5703125" style="1" customWidth="1"/>
    <col min="5635" max="5636" width="8.42578125" style="1"/>
    <col min="5637" max="5637" width="12.42578125" style="1" bestFit="1" customWidth="1"/>
    <col min="5638" max="5641" width="8.42578125" style="1"/>
    <col min="5642" max="5642" width="57" style="1" customWidth="1"/>
    <col min="5643" max="5880" width="8.42578125" style="1"/>
    <col min="5881" max="5881" width="8.85546875" style="1" customWidth="1"/>
    <col min="5882" max="5882" width="81" style="1" customWidth="1"/>
    <col min="5883" max="5883" width="8.5703125" style="1" customWidth="1"/>
    <col min="5884" max="5884" width="16.85546875" style="1" customWidth="1"/>
    <col min="5885" max="5885" width="16" style="1" customWidth="1"/>
    <col min="5886" max="5886" width="20.140625" style="1" customWidth="1"/>
    <col min="5887" max="5887" width="20" style="1" customWidth="1"/>
    <col min="5888" max="5888" width="17.28515625" style="1" customWidth="1"/>
    <col min="5889" max="5889" width="0" style="1" hidden="1" customWidth="1"/>
    <col min="5890" max="5890" width="1.5703125" style="1" customWidth="1"/>
    <col min="5891" max="5892" width="8.42578125" style="1"/>
    <col min="5893" max="5893" width="12.42578125" style="1" bestFit="1" customWidth="1"/>
    <col min="5894" max="5897" width="8.42578125" style="1"/>
    <col min="5898" max="5898" width="57" style="1" customWidth="1"/>
    <col min="5899" max="6136" width="8.42578125" style="1"/>
    <col min="6137" max="6137" width="8.85546875" style="1" customWidth="1"/>
    <col min="6138" max="6138" width="81" style="1" customWidth="1"/>
    <col min="6139" max="6139" width="8.5703125" style="1" customWidth="1"/>
    <col min="6140" max="6140" width="16.85546875" style="1" customWidth="1"/>
    <col min="6141" max="6141" width="16" style="1" customWidth="1"/>
    <col min="6142" max="6142" width="20.140625" style="1" customWidth="1"/>
    <col min="6143" max="6143" width="20" style="1" customWidth="1"/>
    <col min="6144" max="6144" width="17.28515625" style="1" customWidth="1"/>
    <col min="6145" max="6145" width="0" style="1" hidden="1" customWidth="1"/>
    <col min="6146" max="6146" width="1.5703125" style="1" customWidth="1"/>
    <col min="6147" max="6148" width="8.42578125" style="1"/>
    <col min="6149" max="6149" width="12.42578125" style="1" bestFit="1" customWidth="1"/>
    <col min="6150" max="6153" width="8.42578125" style="1"/>
    <col min="6154" max="6154" width="57" style="1" customWidth="1"/>
    <col min="6155" max="6392" width="8.42578125" style="1"/>
    <col min="6393" max="6393" width="8.85546875" style="1" customWidth="1"/>
    <col min="6394" max="6394" width="81" style="1" customWidth="1"/>
    <col min="6395" max="6395" width="8.5703125" style="1" customWidth="1"/>
    <col min="6396" max="6396" width="16.85546875" style="1" customWidth="1"/>
    <col min="6397" max="6397" width="16" style="1" customWidth="1"/>
    <col min="6398" max="6398" width="20.140625" style="1" customWidth="1"/>
    <col min="6399" max="6399" width="20" style="1" customWidth="1"/>
    <col min="6400" max="6400" width="17.28515625" style="1" customWidth="1"/>
    <col min="6401" max="6401" width="0" style="1" hidden="1" customWidth="1"/>
    <col min="6402" max="6402" width="1.5703125" style="1" customWidth="1"/>
    <col min="6403" max="6404" width="8.42578125" style="1"/>
    <col min="6405" max="6405" width="12.42578125" style="1" bestFit="1" customWidth="1"/>
    <col min="6406" max="6409" width="8.42578125" style="1"/>
    <col min="6410" max="6410" width="57" style="1" customWidth="1"/>
    <col min="6411" max="6648" width="8.42578125" style="1"/>
    <col min="6649" max="6649" width="8.85546875" style="1" customWidth="1"/>
    <col min="6650" max="6650" width="81" style="1" customWidth="1"/>
    <col min="6651" max="6651" width="8.5703125" style="1" customWidth="1"/>
    <col min="6652" max="6652" width="16.85546875" style="1" customWidth="1"/>
    <col min="6653" max="6653" width="16" style="1" customWidth="1"/>
    <col min="6654" max="6654" width="20.140625" style="1" customWidth="1"/>
    <col min="6655" max="6655" width="20" style="1" customWidth="1"/>
    <col min="6656" max="6656" width="17.28515625" style="1" customWidth="1"/>
    <col min="6657" max="6657" width="0" style="1" hidden="1" customWidth="1"/>
    <col min="6658" max="6658" width="1.5703125" style="1" customWidth="1"/>
    <col min="6659" max="6660" width="8.42578125" style="1"/>
    <col min="6661" max="6661" width="12.42578125" style="1" bestFit="1" customWidth="1"/>
    <col min="6662" max="6665" width="8.42578125" style="1"/>
    <col min="6666" max="6666" width="57" style="1" customWidth="1"/>
    <col min="6667" max="6904" width="8.42578125" style="1"/>
    <col min="6905" max="6905" width="8.85546875" style="1" customWidth="1"/>
    <col min="6906" max="6906" width="81" style="1" customWidth="1"/>
    <col min="6907" max="6907" width="8.5703125" style="1" customWidth="1"/>
    <col min="6908" max="6908" width="16.85546875" style="1" customWidth="1"/>
    <col min="6909" max="6909" width="16" style="1" customWidth="1"/>
    <col min="6910" max="6910" width="20.140625" style="1" customWidth="1"/>
    <col min="6911" max="6911" width="20" style="1" customWidth="1"/>
    <col min="6912" max="6912" width="17.28515625" style="1" customWidth="1"/>
    <col min="6913" max="6913" width="0" style="1" hidden="1" customWidth="1"/>
    <col min="6914" max="6914" width="1.5703125" style="1" customWidth="1"/>
    <col min="6915" max="6916" width="8.42578125" style="1"/>
    <col min="6917" max="6917" width="12.42578125" style="1" bestFit="1" customWidth="1"/>
    <col min="6918" max="6921" width="8.42578125" style="1"/>
    <col min="6922" max="6922" width="57" style="1" customWidth="1"/>
    <col min="6923" max="7160" width="8.42578125" style="1"/>
    <col min="7161" max="7161" width="8.85546875" style="1" customWidth="1"/>
    <col min="7162" max="7162" width="81" style="1" customWidth="1"/>
    <col min="7163" max="7163" width="8.5703125" style="1" customWidth="1"/>
    <col min="7164" max="7164" width="16.85546875" style="1" customWidth="1"/>
    <col min="7165" max="7165" width="16" style="1" customWidth="1"/>
    <col min="7166" max="7166" width="20.140625" style="1" customWidth="1"/>
    <col min="7167" max="7167" width="20" style="1" customWidth="1"/>
    <col min="7168" max="7168" width="17.28515625" style="1" customWidth="1"/>
    <col min="7169" max="7169" width="0" style="1" hidden="1" customWidth="1"/>
    <col min="7170" max="7170" width="1.5703125" style="1" customWidth="1"/>
    <col min="7171" max="7172" width="8.42578125" style="1"/>
    <col min="7173" max="7173" width="12.42578125" style="1" bestFit="1" customWidth="1"/>
    <col min="7174" max="7177" width="8.42578125" style="1"/>
    <col min="7178" max="7178" width="57" style="1" customWidth="1"/>
    <col min="7179" max="7416" width="8.42578125" style="1"/>
    <col min="7417" max="7417" width="8.85546875" style="1" customWidth="1"/>
    <col min="7418" max="7418" width="81" style="1" customWidth="1"/>
    <col min="7419" max="7419" width="8.5703125" style="1" customWidth="1"/>
    <col min="7420" max="7420" width="16.85546875" style="1" customWidth="1"/>
    <col min="7421" max="7421" width="16" style="1" customWidth="1"/>
    <col min="7422" max="7422" width="20.140625" style="1" customWidth="1"/>
    <col min="7423" max="7423" width="20" style="1" customWidth="1"/>
    <col min="7424" max="7424" width="17.28515625" style="1" customWidth="1"/>
    <col min="7425" max="7425" width="0" style="1" hidden="1" customWidth="1"/>
    <col min="7426" max="7426" width="1.5703125" style="1" customWidth="1"/>
    <col min="7427" max="7428" width="8.42578125" style="1"/>
    <col min="7429" max="7429" width="12.42578125" style="1" bestFit="1" customWidth="1"/>
    <col min="7430" max="7433" width="8.42578125" style="1"/>
    <col min="7434" max="7434" width="57" style="1" customWidth="1"/>
    <col min="7435" max="7672" width="8.42578125" style="1"/>
    <col min="7673" max="7673" width="8.85546875" style="1" customWidth="1"/>
    <col min="7674" max="7674" width="81" style="1" customWidth="1"/>
    <col min="7675" max="7675" width="8.5703125" style="1" customWidth="1"/>
    <col min="7676" max="7676" width="16.85546875" style="1" customWidth="1"/>
    <col min="7677" max="7677" width="16" style="1" customWidth="1"/>
    <col min="7678" max="7678" width="20.140625" style="1" customWidth="1"/>
    <col min="7679" max="7679" width="20" style="1" customWidth="1"/>
    <col min="7680" max="7680" width="17.28515625" style="1" customWidth="1"/>
    <col min="7681" max="7681" width="0" style="1" hidden="1" customWidth="1"/>
    <col min="7682" max="7682" width="1.5703125" style="1" customWidth="1"/>
    <col min="7683" max="7684" width="8.42578125" style="1"/>
    <col min="7685" max="7685" width="12.42578125" style="1" bestFit="1" customWidth="1"/>
    <col min="7686" max="7689" width="8.42578125" style="1"/>
    <col min="7690" max="7690" width="57" style="1" customWidth="1"/>
    <col min="7691" max="7928" width="8.42578125" style="1"/>
    <col min="7929" max="7929" width="8.85546875" style="1" customWidth="1"/>
    <col min="7930" max="7930" width="81" style="1" customWidth="1"/>
    <col min="7931" max="7931" width="8.5703125" style="1" customWidth="1"/>
    <col min="7932" max="7932" width="16.85546875" style="1" customWidth="1"/>
    <col min="7933" max="7933" width="16" style="1" customWidth="1"/>
    <col min="7934" max="7934" width="20.140625" style="1" customWidth="1"/>
    <col min="7935" max="7935" width="20" style="1" customWidth="1"/>
    <col min="7936" max="7936" width="17.28515625" style="1" customWidth="1"/>
    <col min="7937" max="7937" width="0" style="1" hidden="1" customWidth="1"/>
    <col min="7938" max="7938" width="1.5703125" style="1" customWidth="1"/>
    <col min="7939" max="7940" width="8.42578125" style="1"/>
    <col min="7941" max="7941" width="12.42578125" style="1" bestFit="1" customWidth="1"/>
    <col min="7942" max="7945" width="8.42578125" style="1"/>
    <col min="7946" max="7946" width="57" style="1" customWidth="1"/>
    <col min="7947" max="8184" width="8.42578125" style="1"/>
    <col min="8185" max="8185" width="8.85546875" style="1" customWidth="1"/>
    <col min="8186" max="8186" width="81" style="1" customWidth="1"/>
    <col min="8187" max="8187" width="8.5703125" style="1" customWidth="1"/>
    <col min="8188" max="8188" width="16.85546875" style="1" customWidth="1"/>
    <col min="8189" max="8189" width="16" style="1" customWidth="1"/>
    <col min="8190" max="8190" width="20.140625" style="1" customWidth="1"/>
    <col min="8191" max="8191" width="20" style="1" customWidth="1"/>
    <col min="8192" max="8192" width="17.28515625" style="1" customWidth="1"/>
    <col min="8193" max="8193" width="0" style="1" hidden="1" customWidth="1"/>
    <col min="8194" max="8194" width="1.5703125" style="1" customWidth="1"/>
    <col min="8195" max="8196" width="8.42578125" style="1"/>
    <col min="8197" max="8197" width="12.42578125" style="1" bestFit="1" customWidth="1"/>
    <col min="8198" max="8201" width="8.42578125" style="1"/>
    <col min="8202" max="8202" width="57" style="1" customWidth="1"/>
    <col min="8203" max="8440" width="8.42578125" style="1"/>
    <col min="8441" max="8441" width="8.85546875" style="1" customWidth="1"/>
    <col min="8442" max="8442" width="81" style="1" customWidth="1"/>
    <col min="8443" max="8443" width="8.5703125" style="1" customWidth="1"/>
    <col min="8444" max="8444" width="16.85546875" style="1" customWidth="1"/>
    <col min="8445" max="8445" width="16" style="1" customWidth="1"/>
    <col min="8446" max="8446" width="20.140625" style="1" customWidth="1"/>
    <col min="8447" max="8447" width="20" style="1" customWidth="1"/>
    <col min="8448" max="8448" width="17.28515625" style="1" customWidth="1"/>
    <col min="8449" max="8449" width="0" style="1" hidden="1" customWidth="1"/>
    <col min="8450" max="8450" width="1.5703125" style="1" customWidth="1"/>
    <col min="8451" max="8452" width="8.42578125" style="1"/>
    <col min="8453" max="8453" width="12.42578125" style="1" bestFit="1" customWidth="1"/>
    <col min="8454" max="8457" width="8.42578125" style="1"/>
    <col min="8458" max="8458" width="57" style="1" customWidth="1"/>
    <col min="8459" max="8696" width="8.42578125" style="1"/>
    <col min="8697" max="8697" width="8.85546875" style="1" customWidth="1"/>
    <col min="8698" max="8698" width="81" style="1" customWidth="1"/>
    <col min="8699" max="8699" width="8.5703125" style="1" customWidth="1"/>
    <col min="8700" max="8700" width="16.85546875" style="1" customWidth="1"/>
    <col min="8701" max="8701" width="16" style="1" customWidth="1"/>
    <col min="8702" max="8702" width="20.140625" style="1" customWidth="1"/>
    <col min="8703" max="8703" width="20" style="1" customWidth="1"/>
    <col min="8704" max="8704" width="17.28515625" style="1" customWidth="1"/>
    <col min="8705" max="8705" width="0" style="1" hidden="1" customWidth="1"/>
    <col min="8706" max="8706" width="1.5703125" style="1" customWidth="1"/>
    <col min="8707" max="8708" width="8.42578125" style="1"/>
    <col min="8709" max="8709" width="12.42578125" style="1" bestFit="1" customWidth="1"/>
    <col min="8710" max="8713" width="8.42578125" style="1"/>
    <col min="8714" max="8714" width="57" style="1" customWidth="1"/>
    <col min="8715" max="8952" width="8.42578125" style="1"/>
    <col min="8953" max="8953" width="8.85546875" style="1" customWidth="1"/>
    <col min="8954" max="8954" width="81" style="1" customWidth="1"/>
    <col min="8955" max="8955" width="8.5703125" style="1" customWidth="1"/>
    <col min="8956" max="8956" width="16.85546875" style="1" customWidth="1"/>
    <col min="8957" max="8957" width="16" style="1" customWidth="1"/>
    <col min="8958" max="8958" width="20.140625" style="1" customWidth="1"/>
    <col min="8959" max="8959" width="20" style="1" customWidth="1"/>
    <col min="8960" max="8960" width="17.28515625" style="1" customWidth="1"/>
    <col min="8961" max="8961" width="0" style="1" hidden="1" customWidth="1"/>
    <col min="8962" max="8962" width="1.5703125" style="1" customWidth="1"/>
    <col min="8963" max="8964" width="8.42578125" style="1"/>
    <col min="8965" max="8965" width="12.42578125" style="1" bestFit="1" customWidth="1"/>
    <col min="8966" max="8969" width="8.42578125" style="1"/>
    <col min="8970" max="8970" width="57" style="1" customWidth="1"/>
    <col min="8971" max="9208" width="8.42578125" style="1"/>
    <col min="9209" max="9209" width="8.85546875" style="1" customWidth="1"/>
    <col min="9210" max="9210" width="81" style="1" customWidth="1"/>
    <col min="9211" max="9211" width="8.5703125" style="1" customWidth="1"/>
    <col min="9212" max="9212" width="16.85546875" style="1" customWidth="1"/>
    <col min="9213" max="9213" width="16" style="1" customWidth="1"/>
    <col min="9214" max="9214" width="20.140625" style="1" customWidth="1"/>
    <col min="9215" max="9215" width="20" style="1" customWidth="1"/>
    <col min="9216" max="9216" width="17.28515625" style="1" customWidth="1"/>
    <col min="9217" max="9217" width="0" style="1" hidden="1" customWidth="1"/>
    <col min="9218" max="9218" width="1.5703125" style="1" customWidth="1"/>
    <col min="9219" max="9220" width="8.42578125" style="1"/>
    <col min="9221" max="9221" width="12.42578125" style="1" bestFit="1" customWidth="1"/>
    <col min="9222" max="9225" width="8.42578125" style="1"/>
    <col min="9226" max="9226" width="57" style="1" customWidth="1"/>
    <col min="9227" max="9464" width="8.42578125" style="1"/>
    <col min="9465" max="9465" width="8.85546875" style="1" customWidth="1"/>
    <col min="9466" max="9466" width="81" style="1" customWidth="1"/>
    <col min="9467" max="9467" width="8.5703125" style="1" customWidth="1"/>
    <col min="9468" max="9468" width="16.85546875" style="1" customWidth="1"/>
    <col min="9469" max="9469" width="16" style="1" customWidth="1"/>
    <col min="9470" max="9470" width="20.140625" style="1" customWidth="1"/>
    <col min="9471" max="9471" width="20" style="1" customWidth="1"/>
    <col min="9472" max="9472" width="17.28515625" style="1" customWidth="1"/>
    <col min="9473" max="9473" width="0" style="1" hidden="1" customWidth="1"/>
    <col min="9474" max="9474" width="1.5703125" style="1" customWidth="1"/>
    <col min="9475" max="9476" width="8.42578125" style="1"/>
    <col min="9477" max="9477" width="12.42578125" style="1" bestFit="1" customWidth="1"/>
    <col min="9478" max="9481" width="8.42578125" style="1"/>
    <col min="9482" max="9482" width="57" style="1" customWidth="1"/>
    <col min="9483" max="9720" width="8.42578125" style="1"/>
    <col min="9721" max="9721" width="8.85546875" style="1" customWidth="1"/>
    <col min="9722" max="9722" width="81" style="1" customWidth="1"/>
    <col min="9723" max="9723" width="8.5703125" style="1" customWidth="1"/>
    <col min="9724" max="9724" width="16.85546875" style="1" customWidth="1"/>
    <col min="9725" max="9725" width="16" style="1" customWidth="1"/>
    <col min="9726" max="9726" width="20.140625" style="1" customWidth="1"/>
    <col min="9727" max="9727" width="20" style="1" customWidth="1"/>
    <col min="9728" max="9728" width="17.28515625" style="1" customWidth="1"/>
    <col min="9729" max="9729" width="0" style="1" hidden="1" customWidth="1"/>
    <col min="9730" max="9730" width="1.5703125" style="1" customWidth="1"/>
    <col min="9731" max="9732" width="8.42578125" style="1"/>
    <col min="9733" max="9733" width="12.42578125" style="1" bestFit="1" customWidth="1"/>
    <col min="9734" max="9737" width="8.42578125" style="1"/>
    <col min="9738" max="9738" width="57" style="1" customWidth="1"/>
    <col min="9739" max="9976" width="8.42578125" style="1"/>
    <col min="9977" max="9977" width="8.85546875" style="1" customWidth="1"/>
    <col min="9978" max="9978" width="81" style="1" customWidth="1"/>
    <col min="9979" max="9979" width="8.5703125" style="1" customWidth="1"/>
    <col min="9980" max="9980" width="16.85546875" style="1" customWidth="1"/>
    <col min="9981" max="9981" width="16" style="1" customWidth="1"/>
    <col min="9982" max="9982" width="20.140625" style="1" customWidth="1"/>
    <col min="9983" max="9983" width="20" style="1" customWidth="1"/>
    <col min="9984" max="9984" width="17.28515625" style="1" customWidth="1"/>
    <col min="9985" max="9985" width="0" style="1" hidden="1" customWidth="1"/>
    <col min="9986" max="9986" width="1.5703125" style="1" customWidth="1"/>
    <col min="9987" max="9988" width="8.42578125" style="1"/>
    <col min="9989" max="9989" width="12.42578125" style="1" bestFit="1" customWidth="1"/>
    <col min="9990" max="9993" width="8.42578125" style="1"/>
    <col min="9994" max="9994" width="57" style="1" customWidth="1"/>
    <col min="9995" max="10232" width="8.42578125" style="1"/>
    <col min="10233" max="10233" width="8.85546875" style="1" customWidth="1"/>
    <col min="10234" max="10234" width="81" style="1" customWidth="1"/>
    <col min="10235" max="10235" width="8.5703125" style="1" customWidth="1"/>
    <col min="10236" max="10236" width="16.85546875" style="1" customWidth="1"/>
    <col min="10237" max="10237" width="16" style="1" customWidth="1"/>
    <col min="10238" max="10238" width="20.140625" style="1" customWidth="1"/>
    <col min="10239" max="10239" width="20" style="1" customWidth="1"/>
    <col min="10240" max="10240" width="17.28515625" style="1" customWidth="1"/>
    <col min="10241" max="10241" width="0" style="1" hidden="1" customWidth="1"/>
    <col min="10242" max="10242" width="1.5703125" style="1" customWidth="1"/>
    <col min="10243" max="10244" width="8.42578125" style="1"/>
    <col min="10245" max="10245" width="12.42578125" style="1" bestFit="1" customWidth="1"/>
    <col min="10246" max="10249" width="8.42578125" style="1"/>
    <col min="10250" max="10250" width="57" style="1" customWidth="1"/>
    <col min="10251" max="10488" width="8.42578125" style="1"/>
    <col min="10489" max="10489" width="8.85546875" style="1" customWidth="1"/>
    <col min="10490" max="10490" width="81" style="1" customWidth="1"/>
    <col min="10491" max="10491" width="8.5703125" style="1" customWidth="1"/>
    <col min="10492" max="10492" width="16.85546875" style="1" customWidth="1"/>
    <col min="10493" max="10493" width="16" style="1" customWidth="1"/>
    <col min="10494" max="10494" width="20.140625" style="1" customWidth="1"/>
    <col min="10495" max="10495" width="20" style="1" customWidth="1"/>
    <col min="10496" max="10496" width="17.28515625" style="1" customWidth="1"/>
    <col min="10497" max="10497" width="0" style="1" hidden="1" customWidth="1"/>
    <col min="10498" max="10498" width="1.5703125" style="1" customWidth="1"/>
    <col min="10499" max="10500" width="8.42578125" style="1"/>
    <col min="10501" max="10501" width="12.42578125" style="1" bestFit="1" customWidth="1"/>
    <col min="10502" max="10505" width="8.42578125" style="1"/>
    <col min="10506" max="10506" width="57" style="1" customWidth="1"/>
    <col min="10507" max="10744" width="8.42578125" style="1"/>
    <col min="10745" max="10745" width="8.85546875" style="1" customWidth="1"/>
    <col min="10746" max="10746" width="81" style="1" customWidth="1"/>
    <col min="10747" max="10747" width="8.5703125" style="1" customWidth="1"/>
    <col min="10748" max="10748" width="16.85546875" style="1" customWidth="1"/>
    <col min="10749" max="10749" width="16" style="1" customWidth="1"/>
    <col min="10750" max="10750" width="20.140625" style="1" customWidth="1"/>
    <col min="10751" max="10751" width="20" style="1" customWidth="1"/>
    <col min="10752" max="10752" width="17.28515625" style="1" customWidth="1"/>
    <col min="10753" max="10753" width="0" style="1" hidden="1" customWidth="1"/>
    <col min="10754" max="10754" width="1.5703125" style="1" customWidth="1"/>
    <col min="10755" max="10756" width="8.42578125" style="1"/>
    <col min="10757" max="10757" width="12.42578125" style="1" bestFit="1" customWidth="1"/>
    <col min="10758" max="10761" width="8.42578125" style="1"/>
    <col min="10762" max="10762" width="57" style="1" customWidth="1"/>
    <col min="10763" max="11000" width="8.42578125" style="1"/>
    <col min="11001" max="11001" width="8.85546875" style="1" customWidth="1"/>
    <col min="11002" max="11002" width="81" style="1" customWidth="1"/>
    <col min="11003" max="11003" width="8.5703125" style="1" customWidth="1"/>
    <col min="11004" max="11004" width="16.85546875" style="1" customWidth="1"/>
    <col min="11005" max="11005" width="16" style="1" customWidth="1"/>
    <col min="11006" max="11006" width="20.140625" style="1" customWidth="1"/>
    <col min="11007" max="11007" width="20" style="1" customWidth="1"/>
    <col min="11008" max="11008" width="17.28515625" style="1" customWidth="1"/>
    <col min="11009" max="11009" width="0" style="1" hidden="1" customWidth="1"/>
    <col min="11010" max="11010" width="1.5703125" style="1" customWidth="1"/>
    <col min="11011" max="11012" width="8.42578125" style="1"/>
    <col min="11013" max="11013" width="12.42578125" style="1" bestFit="1" customWidth="1"/>
    <col min="11014" max="11017" width="8.42578125" style="1"/>
    <col min="11018" max="11018" width="57" style="1" customWidth="1"/>
    <col min="11019" max="11256" width="8.42578125" style="1"/>
    <col min="11257" max="11257" width="8.85546875" style="1" customWidth="1"/>
    <col min="11258" max="11258" width="81" style="1" customWidth="1"/>
    <col min="11259" max="11259" width="8.5703125" style="1" customWidth="1"/>
    <col min="11260" max="11260" width="16.85546875" style="1" customWidth="1"/>
    <col min="11261" max="11261" width="16" style="1" customWidth="1"/>
    <col min="11262" max="11262" width="20.140625" style="1" customWidth="1"/>
    <col min="11263" max="11263" width="20" style="1" customWidth="1"/>
    <col min="11264" max="11264" width="17.28515625" style="1" customWidth="1"/>
    <col min="11265" max="11265" width="0" style="1" hidden="1" customWidth="1"/>
    <col min="11266" max="11266" width="1.5703125" style="1" customWidth="1"/>
    <col min="11267" max="11268" width="8.42578125" style="1"/>
    <col min="11269" max="11269" width="12.42578125" style="1" bestFit="1" customWidth="1"/>
    <col min="11270" max="11273" width="8.42578125" style="1"/>
    <col min="11274" max="11274" width="57" style="1" customWidth="1"/>
    <col min="11275" max="11512" width="8.42578125" style="1"/>
    <col min="11513" max="11513" width="8.85546875" style="1" customWidth="1"/>
    <col min="11514" max="11514" width="81" style="1" customWidth="1"/>
    <col min="11515" max="11515" width="8.5703125" style="1" customWidth="1"/>
    <col min="11516" max="11516" width="16.85546875" style="1" customWidth="1"/>
    <col min="11517" max="11517" width="16" style="1" customWidth="1"/>
    <col min="11518" max="11518" width="20.140625" style="1" customWidth="1"/>
    <col min="11519" max="11519" width="20" style="1" customWidth="1"/>
    <col min="11520" max="11520" width="17.28515625" style="1" customWidth="1"/>
    <col min="11521" max="11521" width="0" style="1" hidden="1" customWidth="1"/>
    <col min="11522" max="11522" width="1.5703125" style="1" customWidth="1"/>
    <col min="11523" max="11524" width="8.42578125" style="1"/>
    <col min="11525" max="11525" width="12.42578125" style="1" bestFit="1" customWidth="1"/>
    <col min="11526" max="11529" width="8.42578125" style="1"/>
    <col min="11530" max="11530" width="57" style="1" customWidth="1"/>
    <col min="11531" max="11768" width="8.42578125" style="1"/>
    <col min="11769" max="11769" width="8.85546875" style="1" customWidth="1"/>
    <col min="11770" max="11770" width="81" style="1" customWidth="1"/>
    <col min="11771" max="11771" width="8.5703125" style="1" customWidth="1"/>
    <col min="11772" max="11772" width="16.85546875" style="1" customWidth="1"/>
    <col min="11773" max="11773" width="16" style="1" customWidth="1"/>
    <col min="11774" max="11774" width="20.140625" style="1" customWidth="1"/>
    <col min="11775" max="11775" width="20" style="1" customWidth="1"/>
    <col min="11776" max="11776" width="17.28515625" style="1" customWidth="1"/>
    <col min="11777" max="11777" width="0" style="1" hidden="1" customWidth="1"/>
    <col min="11778" max="11778" width="1.5703125" style="1" customWidth="1"/>
    <col min="11779" max="11780" width="8.42578125" style="1"/>
    <col min="11781" max="11781" width="12.42578125" style="1" bestFit="1" customWidth="1"/>
    <col min="11782" max="11785" width="8.42578125" style="1"/>
    <col min="11786" max="11786" width="57" style="1" customWidth="1"/>
    <col min="11787" max="12024" width="8.42578125" style="1"/>
    <col min="12025" max="12025" width="8.85546875" style="1" customWidth="1"/>
    <col min="12026" max="12026" width="81" style="1" customWidth="1"/>
    <col min="12027" max="12027" width="8.5703125" style="1" customWidth="1"/>
    <col min="12028" max="12028" width="16.85546875" style="1" customWidth="1"/>
    <col min="12029" max="12029" width="16" style="1" customWidth="1"/>
    <col min="12030" max="12030" width="20.140625" style="1" customWidth="1"/>
    <col min="12031" max="12031" width="20" style="1" customWidth="1"/>
    <col min="12032" max="12032" width="17.28515625" style="1" customWidth="1"/>
    <col min="12033" max="12033" width="0" style="1" hidden="1" customWidth="1"/>
    <col min="12034" max="12034" width="1.5703125" style="1" customWidth="1"/>
    <col min="12035" max="12036" width="8.42578125" style="1"/>
    <col min="12037" max="12037" width="12.42578125" style="1" bestFit="1" customWidth="1"/>
    <col min="12038" max="12041" width="8.42578125" style="1"/>
    <col min="12042" max="12042" width="57" style="1" customWidth="1"/>
    <col min="12043" max="12280" width="8.42578125" style="1"/>
    <col min="12281" max="12281" width="8.85546875" style="1" customWidth="1"/>
    <col min="12282" max="12282" width="81" style="1" customWidth="1"/>
    <col min="12283" max="12283" width="8.5703125" style="1" customWidth="1"/>
    <col min="12284" max="12284" width="16.85546875" style="1" customWidth="1"/>
    <col min="12285" max="12285" width="16" style="1" customWidth="1"/>
    <col min="12286" max="12286" width="20.140625" style="1" customWidth="1"/>
    <col min="12287" max="12287" width="20" style="1" customWidth="1"/>
    <col min="12288" max="12288" width="17.28515625" style="1" customWidth="1"/>
    <col min="12289" max="12289" width="0" style="1" hidden="1" customWidth="1"/>
    <col min="12290" max="12290" width="1.5703125" style="1" customWidth="1"/>
    <col min="12291" max="12292" width="8.42578125" style="1"/>
    <col min="12293" max="12293" width="12.42578125" style="1" bestFit="1" customWidth="1"/>
    <col min="12294" max="12297" width="8.42578125" style="1"/>
    <col min="12298" max="12298" width="57" style="1" customWidth="1"/>
    <col min="12299" max="12536" width="8.42578125" style="1"/>
    <col min="12537" max="12537" width="8.85546875" style="1" customWidth="1"/>
    <col min="12538" max="12538" width="81" style="1" customWidth="1"/>
    <col min="12539" max="12539" width="8.5703125" style="1" customWidth="1"/>
    <col min="12540" max="12540" width="16.85546875" style="1" customWidth="1"/>
    <col min="12541" max="12541" width="16" style="1" customWidth="1"/>
    <col min="12542" max="12542" width="20.140625" style="1" customWidth="1"/>
    <col min="12543" max="12543" width="20" style="1" customWidth="1"/>
    <col min="12544" max="12544" width="17.28515625" style="1" customWidth="1"/>
    <col min="12545" max="12545" width="0" style="1" hidden="1" customWidth="1"/>
    <col min="12546" max="12546" width="1.5703125" style="1" customWidth="1"/>
    <col min="12547" max="12548" width="8.42578125" style="1"/>
    <col min="12549" max="12549" width="12.42578125" style="1" bestFit="1" customWidth="1"/>
    <col min="12550" max="12553" width="8.42578125" style="1"/>
    <col min="12554" max="12554" width="57" style="1" customWidth="1"/>
    <col min="12555" max="12792" width="8.42578125" style="1"/>
    <col min="12793" max="12793" width="8.85546875" style="1" customWidth="1"/>
    <col min="12794" max="12794" width="81" style="1" customWidth="1"/>
    <col min="12795" max="12795" width="8.5703125" style="1" customWidth="1"/>
    <col min="12796" max="12796" width="16.85546875" style="1" customWidth="1"/>
    <col min="12797" max="12797" width="16" style="1" customWidth="1"/>
    <col min="12798" max="12798" width="20.140625" style="1" customWidth="1"/>
    <col min="12799" max="12799" width="20" style="1" customWidth="1"/>
    <col min="12800" max="12800" width="17.28515625" style="1" customWidth="1"/>
    <col min="12801" max="12801" width="0" style="1" hidden="1" customWidth="1"/>
    <col min="12802" max="12802" width="1.5703125" style="1" customWidth="1"/>
    <col min="12803" max="12804" width="8.42578125" style="1"/>
    <col min="12805" max="12805" width="12.42578125" style="1" bestFit="1" customWidth="1"/>
    <col min="12806" max="12809" width="8.42578125" style="1"/>
    <col min="12810" max="12810" width="57" style="1" customWidth="1"/>
    <col min="12811" max="13048" width="8.42578125" style="1"/>
    <col min="13049" max="13049" width="8.85546875" style="1" customWidth="1"/>
    <col min="13050" max="13050" width="81" style="1" customWidth="1"/>
    <col min="13051" max="13051" width="8.5703125" style="1" customWidth="1"/>
    <col min="13052" max="13052" width="16.85546875" style="1" customWidth="1"/>
    <col min="13053" max="13053" width="16" style="1" customWidth="1"/>
    <col min="13054" max="13054" width="20.140625" style="1" customWidth="1"/>
    <col min="13055" max="13055" width="20" style="1" customWidth="1"/>
    <col min="13056" max="13056" width="17.28515625" style="1" customWidth="1"/>
    <col min="13057" max="13057" width="0" style="1" hidden="1" customWidth="1"/>
    <col min="13058" max="13058" width="1.5703125" style="1" customWidth="1"/>
    <col min="13059" max="13060" width="8.42578125" style="1"/>
    <col min="13061" max="13061" width="12.42578125" style="1" bestFit="1" customWidth="1"/>
    <col min="13062" max="13065" width="8.42578125" style="1"/>
    <col min="13066" max="13066" width="57" style="1" customWidth="1"/>
    <col min="13067" max="13304" width="8.42578125" style="1"/>
    <col min="13305" max="13305" width="8.85546875" style="1" customWidth="1"/>
    <col min="13306" max="13306" width="81" style="1" customWidth="1"/>
    <col min="13307" max="13307" width="8.5703125" style="1" customWidth="1"/>
    <col min="13308" max="13308" width="16.85546875" style="1" customWidth="1"/>
    <col min="13309" max="13309" width="16" style="1" customWidth="1"/>
    <col min="13310" max="13310" width="20.140625" style="1" customWidth="1"/>
    <col min="13311" max="13311" width="20" style="1" customWidth="1"/>
    <col min="13312" max="13312" width="17.28515625" style="1" customWidth="1"/>
    <col min="13313" max="13313" width="0" style="1" hidden="1" customWidth="1"/>
    <col min="13314" max="13314" width="1.5703125" style="1" customWidth="1"/>
    <col min="13315" max="13316" width="8.42578125" style="1"/>
    <col min="13317" max="13317" width="12.42578125" style="1" bestFit="1" customWidth="1"/>
    <col min="13318" max="13321" width="8.42578125" style="1"/>
    <col min="13322" max="13322" width="57" style="1" customWidth="1"/>
    <col min="13323" max="13560" width="8.42578125" style="1"/>
    <col min="13561" max="13561" width="8.85546875" style="1" customWidth="1"/>
    <col min="13562" max="13562" width="81" style="1" customWidth="1"/>
    <col min="13563" max="13563" width="8.5703125" style="1" customWidth="1"/>
    <col min="13564" max="13564" width="16.85546875" style="1" customWidth="1"/>
    <col min="13565" max="13565" width="16" style="1" customWidth="1"/>
    <col min="13566" max="13566" width="20.140625" style="1" customWidth="1"/>
    <col min="13567" max="13567" width="20" style="1" customWidth="1"/>
    <col min="13568" max="13568" width="17.28515625" style="1" customWidth="1"/>
    <col min="13569" max="13569" width="0" style="1" hidden="1" customWidth="1"/>
    <col min="13570" max="13570" width="1.5703125" style="1" customWidth="1"/>
    <col min="13571" max="13572" width="8.42578125" style="1"/>
    <col min="13573" max="13573" width="12.42578125" style="1" bestFit="1" customWidth="1"/>
    <col min="13574" max="13577" width="8.42578125" style="1"/>
    <col min="13578" max="13578" width="57" style="1" customWidth="1"/>
    <col min="13579" max="13816" width="8.42578125" style="1"/>
    <col min="13817" max="13817" width="8.85546875" style="1" customWidth="1"/>
    <col min="13818" max="13818" width="81" style="1" customWidth="1"/>
    <col min="13819" max="13819" width="8.5703125" style="1" customWidth="1"/>
    <col min="13820" max="13820" width="16.85546875" style="1" customWidth="1"/>
    <col min="13821" max="13821" width="16" style="1" customWidth="1"/>
    <col min="13822" max="13822" width="20.140625" style="1" customWidth="1"/>
    <col min="13823" max="13823" width="20" style="1" customWidth="1"/>
    <col min="13824" max="13824" width="17.28515625" style="1" customWidth="1"/>
    <col min="13825" max="13825" width="0" style="1" hidden="1" customWidth="1"/>
    <col min="13826" max="13826" width="1.5703125" style="1" customWidth="1"/>
    <col min="13827" max="13828" width="8.42578125" style="1"/>
    <col min="13829" max="13829" width="12.42578125" style="1" bestFit="1" customWidth="1"/>
    <col min="13830" max="13833" width="8.42578125" style="1"/>
    <col min="13834" max="13834" width="57" style="1" customWidth="1"/>
    <col min="13835" max="14072" width="8.42578125" style="1"/>
    <col min="14073" max="14073" width="8.85546875" style="1" customWidth="1"/>
    <col min="14074" max="14074" width="81" style="1" customWidth="1"/>
    <col min="14075" max="14075" width="8.5703125" style="1" customWidth="1"/>
    <col min="14076" max="14076" width="16.85546875" style="1" customWidth="1"/>
    <col min="14077" max="14077" width="16" style="1" customWidth="1"/>
    <col min="14078" max="14078" width="20.140625" style="1" customWidth="1"/>
    <col min="14079" max="14079" width="20" style="1" customWidth="1"/>
    <col min="14080" max="14080" width="17.28515625" style="1" customWidth="1"/>
    <col min="14081" max="14081" width="0" style="1" hidden="1" customWidth="1"/>
    <col min="14082" max="14082" width="1.5703125" style="1" customWidth="1"/>
    <col min="14083" max="14084" width="8.42578125" style="1"/>
    <col min="14085" max="14085" width="12.42578125" style="1" bestFit="1" customWidth="1"/>
    <col min="14086" max="14089" width="8.42578125" style="1"/>
    <col min="14090" max="14090" width="57" style="1" customWidth="1"/>
    <col min="14091" max="14328" width="8.42578125" style="1"/>
    <col min="14329" max="14329" width="8.85546875" style="1" customWidth="1"/>
    <col min="14330" max="14330" width="81" style="1" customWidth="1"/>
    <col min="14331" max="14331" width="8.5703125" style="1" customWidth="1"/>
    <col min="14332" max="14332" width="16.85546875" style="1" customWidth="1"/>
    <col min="14333" max="14333" width="16" style="1" customWidth="1"/>
    <col min="14334" max="14334" width="20.140625" style="1" customWidth="1"/>
    <col min="14335" max="14335" width="20" style="1" customWidth="1"/>
    <col min="14336" max="14336" width="17.28515625" style="1" customWidth="1"/>
    <col min="14337" max="14337" width="0" style="1" hidden="1" customWidth="1"/>
    <col min="14338" max="14338" width="1.5703125" style="1" customWidth="1"/>
    <col min="14339" max="14340" width="8.42578125" style="1"/>
    <col min="14341" max="14341" width="12.42578125" style="1" bestFit="1" customWidth="1"/>
    <col min="14342" max="14345" width="8.42578125" style="1"/>
    <col min="14346" max="14346" width="57" style="1" customWidth="1"/>
    <col min="14347" max="14584" width="8.42578125" style="1"/>
    <col min="14585" max="14585" width="8.85546875" style="1" customWidth="1"/>
    <col min="14586" max="14586" width="81" style="1" customWidth="1"/>
    <col min="14587" max="14587" width="8.5703125" style="1" customWidth="1"/>
    <col min="14588" max="14588" width="16.85546875" style="1" customWidth="1"/>
    <col min="14589" max="14589" width="16" style="1" customWidth="1"/>
    <col min="14590" max="14590" width="20.140625" style="1" customWidth="1"/>
    <col min="14591" max="14591" width="20" style="1" customWidth="1"/>
    <col min="14592" max="14592" width="17.28515625" style="1" customWidth="1"/>
    <col min="14593" max="14593" width="0" style="1" hidden="1" customWidth="1"/>
    <col min="14594" max="14594" width="1.5703125" style="1" customWidth="1"/>
    <col min="14595" max="14596" width="8.42578125" style="1"/>
    <col min="14597" max="14597" width="12.42578125" style="1" bestFit="1" customWidth="1"/>
    <col min="14598" max="14601" width="8.42578125" style="1"/>
    <col min="14602" max="14602" width="57" style="1" customWidth="1"/>
    <col min="14603" max="14840" width="8.42578125" style="1"/>
    <col min="14841" max="14841" width="8.85546875" style="1" customWidth="1"/>
    <col min="14842" max="14842" width="81" style="1" customWidth="1"/>
    <col min="14843" max="14843" width="8.5703125" style="1" customWidth="1"/>
    <col min="14844" max="14844" width="16.85546875" style="1" customWidth="1"/>
    <col min="14845" max="14845" width="16" style="1" customWidth="1"/>
    <col min="14846" max="14846" width="20.140625" style="1" customWidth="1"/>
    <col min="14847" max="14847" width="20" style="1" customWidth="1"/>
    <col min="14848" max="14848" width="17.28515625" style="1" customWidth="1"/>
    <col min="14849" max="14849" width="0" style="1" hidden="1" customWidth="1"/>
    <col min="14850" max="14850" width="1.5703125" style="1" customWidth="1"/>
    <col min="14851" max="14852" width="8.42578125" style="1"/>
    <col min="14853" max="14853" width="12.42578125" style="1" bestFit="1" customWidth="1"/>
    <col min="14854" max="14857" width="8.42578125" style="1"/>
    <col min="14858" max="14858" width="57" style="1" customWidth="1"/>
    <col min="14859" max="15096" width="8.42578125" style="1"/>
    <col min="15097" max="15097" width="8.85546875" style="1" customWidth="1"/>
    <col min="15098" max="15098" width="81" style="1" customWidth="1"/>
    <col min="15099" max="15099" width="8.5703125" style="1" customWidth="1"/>
    <col min="15100" max="15100" width="16.85546875" style="1" customWidth="1"/>
    <col min="15101" max="15101" width="16" style="1" customWidth="1"/>
    <col min="15102" max="15102" width="20.140625" style="1" customWidth="1"/>
    <col min="15103" max="15103" width="20" style="1" customWidth="1"/>
    <col min="15104" max="15104" width="17.28515625" style="1" customWidth="1"/>
    <col min="15105" max="15105" width="0" style="1" hidden="1" customWidth="1"/>
    <col min="15106" max="15106" width="1.5703125" style="1" customWidth="1"/>
    <col min="15107" max="15108" width="8.42578125" style="1"/>
    <col min="15109" max="15109" width="12.42578125" style="1" bestFit="1" customWidth="1"/>
    <col min="15110" max="15113" width="8.42578125" style="1"/>
    <col min="15114" max="15114" width="57" style="1" customWidth="1"/>
    <col min="15115" max="15352" width="8.42578125" style="1"/>
    <col min="15353" max="15353" width="8.85546875" style="1" customWidth="1"/>
    <col min="15354" max="15354" width="81" style="1" customWidth="1"/>
    <col min="15355" max="15355" width="8.5703125" style="1" customWidth="1"/>
    <col min="15356" max="15356" width="16.85546875" style="1" customWidth="1"/>
    <col min="15357" max="15357" width="16" style="1" customWidth="1"/>
    <col min="15358" max="15358" width="20.140625" style="1" customWidth="1"/>
    <col min="15359" max="15359" width="20" style="1" customWidth="1"/>
    <col min="15360" max="15360" width="17.28515625" style="1" customWidth="1"/>
    <col min="15361" max="15361" width="0" style="1" hidden="1" customWidth="1"/>
    <col min="15362" max="15362" width="1.5703125" style="1" customWidth="1"/>
    <col min="15363" max="15364" width="8.42578125" style="1"/>
    <col min="15365" max="15365" width="12.42578125" style="1" bestFit="1" customWidth="1"/>
    <col min="15366" max="15369" width="8.42578125" style="1"/>
    <col min="15370" max="15370" width="57" style="1" customWidth="1"/>
    <col min="15371" max="15608" width="8.42578125" style="1"/>
    <col min="15609" max="15609" width="8.85546875" style="1" customWidth="1"/>
    <col min="15610" max="15610" width="81" style="1" customWidth="1"/>
    <col min="15611" max="15611" width="8.5703125" style="1" customWidth="1"/>
    <col min="15612" max="15612" width="16.85546875" style="1" customWidth="1"/>
    <col min="15613" max="15613" width="16" style="1" customWidth="1"/>
    <col min="15614" max="15614" width="20.140625" style="1" customWidth="1"/>
    <col min="15615" max="15615" width="20" style="1" customWidth="1"/>
    <col min="15616" max="15616" width="17.28515625" style="1" customWidth="1"/>
    <col min="15617" max="15617" width="0" style="1" hidden="1" customWidth="1"/>
    <col min="15618" max="15618" width="1.5703125" style="1" customWidth="1"/>
    <col min="15619" max="15620" width="8.42578125" style="1"/>
    <col min="15621" max="15621" width="12.42578125" style="1" bestFit="1" customWidth="1"/>
    <col min="15622" max="15625" width="8.42578125" style="1"/>
    <col min="15626" max="15626" width="57" style="1" customWidth="1"/>
    <col min="15627" max="15864" width="8.42578125" style="1"/>
    <col min="15865" max="15865" width="8.85546875" style="1" customWidth="1"/>
    <col min="15866" max="15866" width="81" style="1" customWidth="1"/>
    <col min="15867" max="15867" width="8.5703125" style="1" customWidth="1"/>
    <col min="15868" max="15868" width="16.85546875" style="1" customWidth="1"/>
    <col min="15869" max="15869" width="16" style="1" customWidth="1"/>
    <col min="15870" max="15870" width="20.140625" style="1" customWidth="1"/>
    <col min="15871" max="15871" width="20" style="1" customWidth="1"/>
    <col min="15872" max="15872" width="17.28515625" style="1" customWidth="1"/>
    <col min="15873" max="15873" width="0" style="1" hidden="1" customWidth="1"/>
    <col min="15874" max="15874" width="1.5703125" style="1" customWidth="1"/>
    <col min="15875" max="15876" width="8.42578125" style="1"/>
    <col min="15877" max="15877" width="12.42578125" style="1" bestFit="1" customWidth="1"/>
    <col min="15878" max="15881" width="8.42578125" style="1"/>
    <col min="15882" max="15882" width="57" style="1" customWidth="1"/>
    <col min="15883" max="16120" width="8.42578125" style="1"/>
    <col min="16121" max="16121" width="8.85546875" style="1" customWidth="1"/>
    <col min="16122" max="16122" width="81" style="1" customWidth="1"/>
    <col min="16123" max="16123" width="8.5703125" style="1" customWidth="1"/>
    <col min="16124" max="16124" width="16.85546875" style="1" customWidth="1"/>
    <col min="16125" max="16125" width="16" style="1" customWidth="1"/>
    <col min="16126" max="16126" width="20.140625" style="1" customWidth="1"/>
    <col min="16127" max="16127" width="20" style="1" customWidth="1"/>
    <col min="16128" max="16128" width="17.28515625" style="1" customWidth="1"/>
    <col min="16129" max="16129" width="0" style="1" hidden="1" customWidth="1"/>
    <col min="16130" max="16130" width="1.5703125" style="1" customWidth="1"/>
    <col min="16131" max="16132" width="8.42578125" style="1"/>
    <col min="16133" max="16133" width="12.42578125" style="1" bestFit="1" customWidth="1"/>
    <col min="16134" max="16137" width="8.42578125" style="1"/>
    <col min="16138" max="16138" width="57" style="1" customWidth="1"/>
    <col min="16139" max="16384" width="8.42578125" style="1"/>
  </cols>
  <sheetData>
    <row r="1" spans="1:27" ht="39.75" customHeight="1" x14ac:dyDescent="0.2">
      <c r="A1" s="211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</row>
    <row r="2" spans="1:27" ht="48" customHeight="1" x14ac:dyDescent="0.2">
      <c r="A2" s="212" t="s">
        <v>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</row>
    <row r="3" spans="1:27" ht="39.75" customHeight="1" x14ac:dyDescent="0.2">
      <c r="A3" s="217" t="s">
        <v>69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7" x14ac:dyDescent="0.2">
      <c r="A4" s="221" t="s">
        <v>13</v>
      </c>
      <c r="B4" s="221"/>
      <c r="C4" s="221"/>
      <c r="D4" s="220" t="s">
        <v>16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16" t="s">
        <v>17</v>
      </c>
      <c r="T4" s="216"/>
      <c r="U4" s="216"/>
      <c r="V4" s="216"/>
      <c r="W4" s="218" t="s">
        <v>18</v>
      </c>
      <c r="X4" s="218"/>
    </row>
    <row r="5" spans="1:27" x14ac:dyDescent="0.2">
      <c r="A5" s="221"/>
      <c r="B5" s="221"/>
      <c r="C5" s="221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16"/>
      <c r="T5" s="216"/>
      <c r="U5" s="216"/>
      <c r="V5" s="216"/>
      <c r="W5" s="219" t="s">
        <v>5</v>
      </c>
      <c r="X5" s="219"/>
    </row>
    <row r="6" spans="1:27" ht="15.75" customHeight="1" x14ac:dyDescent="0.2">
      <c r="A6" s="221" t="s">
        <v>77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16"/>
      <c r="T6" s="216"/>
      <c r="U6" s="216"/>
      <c r="V6" s="216"/>
      <c r="W6" s="215"/>
      <c r="X6" s="215"/>
    </row>
    <row r="7" spans="1:27" ht="15.75" customHeight="1" x14ac:dyDescent="0.2">
      <c r="A7" s="222" t="s">
        <v>82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16"/>
      <c r="T7" s="216"/>
      <c r="U7" s="216"/>
      <c r="V7" s="216"/>
      <c r="W7" s="215"/>
      <c r="X7" s="215"/>
    </row>
    <row r="8" spans="1:27" ht="15.75" customHeight="1" x14ac:dyDescent="0.2">
      <c r="A8" s="221" t="s">
        <v>78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16"/>
      <c r="T8" s="216"/>
      <c r="U8" s="216"/>
      <c r="V8" s="216"/>
      <c r="W8" s="215"/>
      <c r="X8" s="215"/>
    </row>
    <row r="9" spans="1:27" s="42" customFormat="1" ht="30" customHeight="1" x14ac:dyDescent="0.2">
      <c r="A9" s="199" t="s">
        <v>0</v>
      </c>
      <c r="B9" s="200" t="s">
        <v>46</v>
      </c>
      <c r="C9" s="198" t="s">
        <v>47</v>
      </c>
      <c r="D9" s="198"/>
      <c r="E9" s="198" t="s">
        <v>48</v>
      </c>
      <c r="F9" s="198"/>
      <c r="G9" s="198" t="s">
        <v>49</v>
      </c>
      <c r="H9" s="198"/>
      <c r="I9" s="198" t="s">
        <v>36</v>
      </c>
      <c r="J9" s="198"/>
      <c r="K9" s="198" t="s">
        <v>37</v>
      </c>
      <c r="L9" s="198"/>
      <c r="M9" s="198" t="s">
        <v>38</v>
      </c>
      <c r="N9" s="198"/>
      <c r="O9" s="198" t="s">
        <v>39</v>
      </c>
      <c r="P9" s="198"/>
      <c r="Q9" s="198" t="s">
        <v>40</v>
      </c>
      <c r="R9" s="198"/>
      <c r="S9" s="198" t="s">
        <v>41</v>
      </c>
      <c r="T9" s="198"/>
      <c r="U9" s="198" t="s">
        <v>42</v>
      </c>
      <c r="V9" s="198"/>
      <c r="W9" s="198" t="s">
        <v>43</v>
      </c>
      <c r="X9" s="198"/>
    </row>
    <row r="10" spans="1:27" s="42" customFormat="1" ht="30" customHeight="1" x14ac:dyDescent="0.2">
      <c r="A10" s="199"/>
      <c r="B10" s="200"/>
      <c r="C10" s="54" t="s">
        <v>44</v>
      </c>
      <c r="D10" s="54" t="s">
        <v>45</v>
      </c>
      <c r="E10" s="54" t="s">
        <v>44</v>
      </c>
      <c r="F10" s="54" t="s">
        <v>45</v>
      </c>
      <c r="G10" s="54" t="s">
        <v>44</v>
      </c>
      <c r="H10" s="54" t="s">
        <v>45</v>
      </c>
      <c r="I10" s="54" t="s">
        <v>44</v>
      </c>
      <c r="J10" s="54" t="s">
        <v>45</v>
      </c>
      <c r="K10" s="54" t="s">
        <v>44</v>
      </c>
      <c r="L10" s="54" t="s">
        <v>45</v>
      </c>
      <c r="M10" s="54" t="s">
        <v>44</v>
      </c>
      <c r="N10" s="54" t="s">
        <v>45</v>
      </c>
      <c r="O10" s="54" t="s">
        <v>44</v>
      </c>
      <c r="P10" s="54" t="s">
        <v>45</v>
      </c>
      <c r="Q10" s="54" t="s">
        <v>44</v>
      </c>
      <c r="R10" s="54" t="s">
        <v>45</v>
      </c>
      <c r="S10" s="54" t="s">
        <v>44</v>
      </c>
      <c r="T10" s="54" t="s">
        <v>45</v>
      </c>
      <c r="U10" s="54" t="s">
        <v>44</v>
      </c>
      <c r="V10" s="54" t="s">
        <v>45</v>
      </c>
      <c r="W10" s="54" t="s">
        <v>44</v>
      </c>
      <c r="X10" s="54" t="s">
        <v>45</v>
      </c>
    </row>
    <row r="11" spans="1:27" s="42" customFormat="1" ht="30" customHeight="1" x14ac:dyDescent="0.2">
      <c r="A11" s="75" t="s">
        <v>50</v>
      </c>
      <c r="B11" s="53" t="str">
        <f>[1]PLANILHA!D11</f>
        <v>PROJETOS COMPLEMENTARES</v>
      </c>
      <c r="C11" s="55">
        <f>[1]PLANILHA!H18</f>
        <v>45562.080000000002</v>
      </c>
      <c r="D11" s="56">
        <f>C11/$C$29</f>
        <v>1.9800000000000002E-2</v>
      </c>
      <c r="E11" s="72">
        <f>F11*$C$11</f>
        <v>45562.080000000002</v>
      </c>
      <c r="F11" s="52">
        <v>1</v>
      </c>
      <c r="G11" s="72">
        <f>H11*$C$11</f>
        <v>0</v>
      </c>
      <c r="H11" s="52"/>
      <c r="I11" s="72">
        <f>J11*$C$11</f>
        <v>0</v>
      </c>
      <c r="J11" s="52"/>
      <c r="K11" s="72">
        <f>L11*$C$11</f>
        <v>0</v>
      </c>
      <c r="L11" s="52"/>
      <c r="M11" s="72">
        <f>N11*$C$11</f>
        <v>0</v>
      </c>
      <c r="N11" s="52"/>
      <c r="O11" s="72">
        <f>P11*$C$11</f>
        <v>0</v>
      </c>
      <c r="P11" s="52"/>
      <c r="Q11" s="72">
        <f>R11*$C$11</f>
        <v>0</v>
      </c>
      <c r="R11" s="52"/>
      <c r="S11" s="72">
        <f>T11*$C$11</f>
        <v>0</v>
      </c>
      <c r="T11" s="52"/>
      <c r="U11" s="72">
        <f>V11*$C$11</f>
        <v>0</v>
      </c>
      <c r="V11" s="52"/>
      <c r="W11" s="72">
        <f>X11*$C$11</f>
        <v>0</v>
      </c>
      <c r="X11" s="52"/>
      <c r="Z11" s="43">
        <f>X11+V11+T11+R11+P11+N11+L11+J11+H11+F11</f>
        <v>1</v>
      </c>
      <c r="AA11" s="76">
        <f>SUM(E11,G11,I11,K11,M11,O11,Q11,S11,U11,W11)</f>
        <v>45562.080000000002</v>
      </c>
    </row>
    <row r="12" spans="1:27" s="42" customFormat="1" ht="30" customHeight="1" x14ac:dyDescent="0.2">
      <c r="A12" s="75" t="s">
        <v>51</v>
      </c>
      <c r="B12" s="53" t="str">
        <f>[1]PLANILHA!D19</f>
        <v>SERVÇOS INICIAIS</v>
      </c>
      <c r="C12" s="57">
        <f>[1]PLANILHA!H31</f>
        <v>91351.56</v>
      </c>
      <c r="D12" s="56">
        <f>C12/$C$29</f>
        <v>3.9600000000000003E-2</v>
      </c>
      <c r="E12" s="72">
        <f>F12*$C$12</f>
        <v>22837.89</v>
      </c>
      <c r="F12" s="52">
        <v>0.25</v>
      </c>
      <c r="G12" s="72">
        <f>H12*$C$12</f>
        <v>22837.89</v>
      </c>
      <c r="H12" s="52">
        <v>0.25</v>
      </c>
      <c r="I12" s="72">
        <f>J12*$C$12</f>
        <v>27405.47</v>
      </c>
      <c r="J12" s="52">
        <v>0.3</v>
      </c>
      <c r="K12" s="72">
        <f>L12*$C$12</f>
        <v>18270.310000000001</v>
      </c>
      <c r="L12" s="52">
        <v>0.2</v>
      </c>
      <c r="M12" s="72">
        <f>N12*$C$12</f>
        <v>0</v>
      </c>
      <c r="N12" s="52"/>
      <c r="O12" s="72">
        <f>P12*$C$12</f>
        <v>0</v>
      </c>
      <c r="P12" s="52"/>
      <c r="Q12" s="72">
        <f>R12*$C$12</f>
        <v>0</v>
      </c>
      <c r="R12" s="52"/>
      <c r="S12" s="72">
        <f>T12*$C$12</f>
        <v>0</v>
      </c>
      <c r="T12" s="52"/>
      <c r="U12" s="72">
        <f>V12*$C$12</f>
        <v>0</v>
      </c>
      <c r="V12" s="52"/>
      <c r="W12" s="72">
        <f>X12*$C$12</f>
        <v>0</v>
      </c>
      <c r="X12" s="52"/>
      <c r="Z12" s="43">
        <f t="shared" ref="Z12:Z26" si="0">X12+V12+T12+R12+P12+N12+L12+J12+H12+F12</f>
        <v>1</v>
      </c>
      <c r="AA12" s="76">
        <f t="shared" ref="AA12:AA26" si="1">SUM(E12,G12,I12,K12,M12,O12,Q12,S12,U12,W12)</f>
        <v>91351.56</v>
      </c>
    </row>
    <row r="13" spans="1:27" s="42" customFormat="1" ht="30" customHeight="1" x14ac:dyDescent="0.2">
      <c r="A13" s="75" t="s">
        <v>52</v>
      </c>
      <c r="B13" s="53" t="str">
        <f>[1]PLANILHA!D32</f>
        <v>FUNDAÇÃO</v>
      </c>
      <c r="C13" s="57">
        <f>[1]PLANILHA!H48</f>
        <v>229400.91</v>
      </c>
      <c r="D13" s="56">
        <f>C13/$C$29</f>
        <v>9.9500000000000005E-2</v>
      </c>
      <c r="E13" s="72">
        <f>F13*$C$13</f>
        <v>0</v>
      </c>
      <c r="F13" s="52"/>
      <c r="G13" s="72">
        <f>H13*$C$13</f>
        <v>22940.09</v>
      </c>
      <c r="H13" s="52">
        <v>0.1</v>
      </c>
      <c r="I13" s="72">
        <f>J13*$C$13</f>
        <v>68820.27</v>
      </c>
      <c r="J13" s="52">
        <v>0.3</v>
      </c>
      <c r="K13" s="72">
        <f>L13*$C$13</f>
        <v>68820.27</v>
      </c>
      <c r="L13" s="52">
        <v>0.3</v>
      </c>
      <c r="M13" s="72">
        <f>N13*$C$13</f>
        <v>68820.27</v>
      </c>
      <c r="N13" s="52">
        <v>0.3</v>
      </c>
      <c r="O13" s="72">
        <f>P13*$C$13</f>
        <v>0</v>
      </c>
      <c r="P13" s="52"/>
      <c r="Q13" s="72">
        <f>R13*$C$13</f>
        <v>0</v>
      </c>
      <c r="R13" s="52"/>
      <c r="S13" s="72">
        <f>T13*$C$13</f>
        <v>0</v>
      </c>
      <c r="T13" s="52"/>
      <c r="U13" s="72">
        <f>V13*$C$13</f>
        <v>0</v>
      </c>
      <c r="V13" s="52"/>
      <c r="W13" s="72">
        <f>X13*$C$13</f>
        <v>0</v>
      </c>
      <c r="X13" s="52"/>
      <c r="Z13" s="43">
        <f t="shared" si="0"/>
        <v>1</v>
      </c>
      <c r="AA13" s="76">
        <f t="shared" si="1"/>
        <v>229400.9</v>
      </c>
    </row>
    <row r="14" spans="1:27" s="42" customFormat="1" ht="30" customHeight="1" x14ac:dyDescent="0.2">
      <c r="A14" s="75" t="s">
        <v>53</v>
      </c>
      <c r="B14" s="53" t="str">
        <f>[1]PLANILHA!D49</f>
        <v>ESTRUTURA</v>
      </c>
      <c r="C14" s="57">
        <f>[1]PLANILHA!H78</f>
        <v>338587.63</v>
      </c>
      <c r="D14" s="56">
        <f>C14/$C$29</f>
        <v>0.1469</v>
      </c>
      <c r="E14" s="72">
        <f>F14*$C$14</f>
        <v>0</v>
      </c>
      <c r="F14" s="52"/>
      <c r="G14" s="72">
        <f>H14*$C$14</f>
        <v>0</v>
      </c>
      <c r="H14" s="52"/>
      <c r="I14" s="72">
        <f>J14*$C$14</f>
        <v>0</v>
      </c>
      <c r="J14" s="52"/>
      <c r="K14" s="72">
        <f>L14*$C$14</f>
        <v>0</v>
      </c>
      <c r="L14" s="52"/>
      <c r="M14" s="72">
        <f>N14*$C$14</f>
        <v>101576.29</v>
      </c>
      <c r="N14" s="52">
        <v>0.3</v>
      </c>
      <c r="O14" s="72">
        <f>P14*$C$14</f>
        <v>101576.29</v>
      </c>
      <c r="P14" s="52">
        <v>0.3</v>
      </c>
      <c r="Q14" s="72">
        <f>R14*$C$14</f>
        <v>101576.29</v>
      </c>
      <c r="R14" s="52">
        <v>0.3</v>
      </c>
      <c r="S14" s="72">
        <f>T14*$C$14</f>
        <v>33858.76</v>
      </c>
      <c r="T14" s="52">
        <v>0.1</v>
      </c>
      <c r="U14" s="72">
        <f>V14*$C$14</f>
        <v>0</v>
      </c>
      <c r="V14" s="52"/>
      <c r="W14" s="72">
        <f>X14*$C$14</f>
        <v>0</v>
      </c>
      <c r="X14" s="52"/>
      <c r="Z14" s="43">
        <f t="shared" si="0"/>
        <v>1</v>
      </c>
      <c r="AA14" s="76">
        <f t="shared" si="1"/>
        <v>338587.63</v>
      </c>
    </row>
    <row r="15" spans="1:27" s="42" customFormat="1" ht="30" customHeight="1" x14ac:dyDescent="0.2">
      <c r="A15" s="75" t="s">
        <v>54</v>
      </c>
      <c r="B15" s="53" t="str">
        <f>[1]PLANILHA!D79</f>
        <v>ALVENARIA, VEDAÇÕES E DIVISÓRIAS</v>
      </c>
      <c r="C15" s="57">
        <f>[1]PLANILHA!H92</f>
        <v>185189.58</v>
      </c>
      <c r="D15" s="56">
        <f>C15/$C$29</f>
        <v>8.0399999999999999E-2</v>
      </c>
      <c r="E15" s="72">
        <f>F15*$C$15</f>
        <v>0</v>
      </c>
      <c r="F15" s="52"/>
      <c r="G15" s="72">
        <f>H15*$C$15</f>
        <v>18518.96</v>
      </c>
      <c r="H15" s="52">
        <v>0.1</v>
      </c>
      <c r="I15" s="72">
        <f>J15*$C$15</f>
        <v>55556.87</v>
      </c>
      <c r="J15" s="52">
        <v>0.3</v>
      </c>
      <c r="K15" s="72">
        <f>L15*$C$15</f>
        <v>55556.87</v>
      </c>
      <c r="L15" s="52">
        <v>0.3</v>
      </c>
      <c r="M15" s="72">
        <f>N15*$C$15</f>
        <v>55556.87</v>
      </c>
      <c r="N15" s="52">
        <v>0.3</v>
      </c>
      <c r="O15" s="72">
        <f>P15*$C$15</f>
        <v>0</v>
      </c>
      <c r="P15" s="52"/>
      <c r="Q15" s="72">
        <f>R15*$C$15</f>
        <v>0</v>
      </c>
      <c r="R15" s="52"/>
      <c r="S15" s="72">
        <f>T15*$C$15</f>
        <v>0</v>
      </c>
      <c r="T15" s="52"/>
      <c r="U15" s="72">
        <f>V15*$C$15</f>
        <v>0</v>
      </c>
      <c r="V15" s="52"/>
      <c r="W15" s="72">
        <f>X15*$C$15</f>
        <v>0</v>
      </c>
      <c r="X15" s="52"/>
      <c r="Z15" s="43">
        <f t="shared" si="0"/>
        <v>1</v>
      </c>
      <c r="AA15" s="76">
        <f t="shared" si="1"/>
        <v>185189.57</v>
      </c>
    </row>
    <row r="16" spans="1:27" s="42" customFormat="1" ht="30" customHeight="1" x14ac:dyDescent="0.2">
      <c r="A16" s="75" t="s">
        <v>55</v>
      </c>
      <c r="B16" s="53" t="str">
        <f>[1]PLANILHA!D93</f>
        <v>COBERTURA</v>
      </c>
      <c r="C16" s="57">
        <f>[1]PLANILHA!H105</f>
        <v>116607.58</v>
      </c>
      <c r="D16" s="56">
        <f>C16/$C$29</f>
        <v>5.0599999999999999E-2</v>
      </c>
      <c r="E16" s="72">
        <f>F16*$C$16</f>
        <v>0</v>
      </c>
      <c r="F16" s="52"/>
      <c r="G16" s="72">
        <f>H16*$C$16</f>
        <v>34982.269999999997</v>
      </c>
      <c r="H16" s="52">
        <v>0.3</v>
      </c>
      <c r="I16" s="72">
        <f>J16*$C$16</f>
        <v>34982.269999999997</v>
      </c>
      <c r="J16" s="52">
        <v>0.3</v>
      </c>
      <c r="K16" s="72">
        <f>L16*$C$16</f>
        <v>34982.269999999997</v>
      </c>
      <c r="L16" s="52">
        <v>0.3</v>
      </c>
      <c r="M16" s="72">
        <f>N16*$C$16</f>
        <v>0</v>
      </c>
      <c r="N16" s="52"/>
      <c r="O16" s="72">
        <f>P16*$C$16</f>
        <v>0</v>
      </c>
      <c r="P16" s="52"/>
      <c r="Q16" s="72">
        <f>R16*$C$16</f>
        <v>0</v>
      </c>
      <c r="R16" s="52"/>
      <c r="S16" s="72">
        <f>T16*$C$16</f>
        <v>0</v>
      </c>
      <c r="T16" s="52"/>
      <c r="U16" s="72">
        <f>V16*$C$16</f>
        <v>0</v>
      </c>
      <c r="V16" s="52"/>
      <c r="W16" s="72">
        <f>X16*$C$16</f>
        <v>11660.76</v>
      </c>
      <c r="X16" s="52">
        <v>0.1</v>
      </c>
      <c r="Z16" s="43">
        <f t="shared" si="0"/>
        <v>1</v>
      </c>
      <c r="AA16" s="76">
        <f t="shared" si="1"/>
        <v>116607.57</v>
      </c>
    </row>
    <row r="17" spans="1:27" s="42" customFormat="1" ht="30" customHeight="1" x14ac:dyDescent="0.2">
      <c r="A17" s="75" t="s">
        <v>56</v>
      </c>
      <c r="B17" s="53" t="str">
        <f>[1]PLANILHA!D106</f>
        <v>IMPERMEABILIZAÇÃO</v>
      </c>
      <c r="C17" s="57">
        <f>[1]PLANILHA!H110</f>
        <v>34278.71</v>
      </c>
      <c r="D17" s="56">
        <f>C17/$C$29</f>
        <v>1.49E-2</v>
      </c>
      <c r="E17" s="72">
        <f>F17*$C$17</f>
        <v>0</v>
      </c>
      <c r="F17" s="52"/>
      <c r="G17" s="72">
        <f>H17*$C$17</f>
        <v>0</v>
      </c>
      <c r="H17" s="52"/>
      <c r="I17" s="72">
        <f>J17*$C$17</f>
        <v>6855.74</v>
      </c>
      <c r="J17" s="52">
        <v>0.2</v>
      </c>
      <c r="K17" s="72">
        <f>L17*$C$17</f>
        <v>6855.74</v>
      </c>
      <c r="L17" s="52">
        <v>0.2</v>
      </c>
      <c r="M17" s="72">
        <f>N17*$C$17</f>
        <v>6855.74</v>
      </c>
      <c r="N17" s="52">
        <v>0.2</v>
      </c>
      <c r="O17" s="72">
        <f>P17*$C$17</f>
        <v>6855.74</v>
      </c>
      <c r="P17" s="52">
        <v>0.2</v>
      </c>
      <c r="Q17" s="72">
        <f>R17*$C$17</f>
        <v>6855.74</v>
      </c>
      <c r="R17" s="52">
        <v>0.2</v>
      </c>
      <c r="S17" s="72">
        <f>T17*$C$17</f>
        <v>0</v>
      </c>
      <c r="T17" s="52"/>
      <c r="U17" s="72">
        <f>V17*$C$17</f>
        <v>0</v>
      </c>
      <c r="V17" s="52"/>
      <c r="W17" s="72">
        <f>X17*$C$17</f>
        <v>0</v>
      </c>
      <c r="X17" s="52"/>
      <c r="Z17" s="43">
        <f t="shared" si="0"/>
        <v>1</v>
      </c>
      <c r="AA17" s="76">
        <f t="shared" si="1"/>
        <v>34278.699999999997</v>
      </c>
    </row>
    <row r="18" spans="1:27" s="42" customFormat="1" ht="30" customHeight="1" x14ac:dyDescent="0.2">
      <c r="A18" s="75" t="s">
        <v>57</v>
      </c>
      <c r="B18" s="53" t="str">
        <f>[1]PLANILHA!D111</f>
        <v>ESQUADRIAS</v>
      </c>
      <c r="C18" s="57">
        <f>[1]PLANILHA!H131</f>
        <v>229377.14</v>
      </c>
      <c r="D18" s="56">
        <f>C18/$C$29</f>
        <v>9.9500000000000005E-2</v>
      </c>
      <c r="E18" s="72">
        <f>F18*$C$18</f>
        <v>0</v>
      </c>
      <c r="F18" s="52"/>
      <c r="G18" s="72">
        <f>H18*$C$18</f>
        <v>0</v>
      </c>
      <c r="H18" s="52"/>
      <c r="I18" s="72">
        <f>J18*$C$18</f>
        <v>0</v>
      </c>
      <c r="J18" s="52"/>
      <c r="K18" s="72">
        <f>L18*$C$18</f>
        <v>45875.43</v>
      </c>
      <c r="L18" s="52">
        <v>0.2</v>
      </c>
      <c r="M18" s="72">
        <f>N18*$C$18</f>
        <v>45875.43</v>
      </c>
      <c r="N18" s="52">
        <v>0.2</v>
      </c>
      <c r="O18" s="72">
        <f>P18*$C$18</f>
        <v>45875.43</v>
      </c>
      <c r="P18" s="52">
        <v>0.2</v>
      </c>
      <c r="Q18" s="72">
        <f>R18*$C$18</f>
        <v>45875.43</v>
      </c>
      <c r="R18" s="52">
        <v>0.2</v>
      </c>
      <c r="S18" s="72">
        <f>T18*$C$18</f>
        <v>45875.43</v>
      </c>
      <c r="T18" s="52">
        <v>0.2</v>
      </c>
      <c r="U18" s="72">
        <f>V18*$C$18</f>
        <v>0</v>
      </c>
      <c r="V18" s="52"/>
      <c r="W18" s="72">
        <f>X18*$C$18</f>
        <v>0</v>
      </c>
      <c r="X18" s="52"/>
      <c r="Z18" s="43">
        <f t="shared" si="0"/>
        <v>1</v>
      </c>
      <c r="AA18" s="76">
        <f t="shared" si="1"/>
        <v>229377.15</v>
      </c>
    </row>
    <row r="19" spans="1:27" s="42" customFormat="1" ht="30" customHeight="1" x14ac:dyDescent="0.2">
      <c r="A19" s="75" t="s">
        <v>58</v>
      </c>
      <c r="B19" s="53" t="str">
        <f>[1]PLANILHA!D132</f>
        <v>REVESTIMENTO</v>
      </c>
      <c r="C19" s="57">
        <f>[1]PLANILHA!H158</f>
        <v>387402.73</v>
      </c>
      <c r="D19" s="56">
        <f>C19/$C$29</f>
        <v>0.1681</v>
      </c>
      <c r="E19" s="72">
        <f>F19*$C$19</f>
        <v>0</v>
      </c>
      <c r="F19" s="52"/>
      <c r="G19" s="72">
        <f>H19*$C$19</f>
        <v>0</v>
      </c>
      <c r="H19" s="52"/>
      <c r="I19" s="72">
        <f>J19*$C$19</f>
        <v>0</v>
      </c>
      <c r="J19" s="52"/>
      <c r="K19" s="72">
        <f>L19*$C$19</f>
        <v>96850.68</v>
      </c>
      <c r="L19" s="52">
        <v>0.25</v>
      </c>
      <c r="M19" s="72">
        <f>N19*$C$19</f>
        <v>96850.68</v>
      </c>
      <c r="N19" s="52">
        <v>0.25</v>
      </c>
      <c r="O19" s="72">
        <f>P19*$C$19</f>
        <v>96850.68</v>
      </c>
      <c r="P19" s="52">
        <v>0.25</v>
      </c>
      <c r="Q19" s="72">
        <f>R19*$C$19</f>
        <v>96850.68</v>
      </c>
      <c r="R19" s="52">
        <v>0.25</v>
      </c>
      <c r="S19" s="72">
        <f>T19*$C$19</f>
        <v>0</v>
      </c>
      <c r="T19" s="52"/>
      <c r="U19" s="72">
        <f>V19*$C$19</f>
        <v>0</v>
      </c>
      <c r="V19" s="52"/>
      <c r="W19" s="72">
        <f>X19*$C$19</f>
        <v>0</v>
      </c>
      <c r="X19" s="52"/>
      <c r="Z19" s="43">
        <f t="shared" si="0"/>
        <v>1</v>
      </c>
      <c r="AA19" s="76">
        <f t="shared" si="1"/>
        <v>387402.72</v>
      </c>
    </row>
    <row r="20" spans="1:27" s="42" customFormat="1" ht="30" customHeight="1" x14ac:dyDescent="0.2">
      <c r="A20" s="75" t="s">
        <v>59</v>
      </c>
      <c r="B20" s="53" t="str">
        <f>[1]PLANILHA!D159</f>
        <v>LOUÇAS, METAIS E ACESSÓRIOS</v>
      </c>
      <c r="C20" s="57">
        <f>[1]PLANILHA!H185</f>
        <v>83159.199999999997</v>
      </c>
      <c r="D20" s="56">
        <f>C20/$C$29</f>
        <v>3.61E-2</v>
      </c>
      <c r="E20" s="72">
        <f>F20*$C$20</f>
        <v>0</v>
      </c>
      <c r="F20" s="52"/>
      <c r="G20" s="72">
        <f>H20*$C$20</f>
        <v>0</v>
      </c>
      <c r="H20" s="52"/>
      <c r="I20" s="72">
        <f>J20*$C$20</f>
        <v>0</v>
      </c>
      <c r="J20" s="52"/>
      <c r="K20" s="72">
        <f>L20*$C$20</f>
        <v>20789.8</v>
      </c>
      <c r="L20" s="52">
        <v>0.25</v>
      </c>
      <c r="M20" s="72">
        <f>N20*$C$20</f>
        <v>20789.8</v>
      </c>
      <c r="N20" s="52">
        <v>0.25</v>
      </c>
      <c r="O20" s="72">
        <f>P20*$C$20</f>
        <v>20789.8</v>
      </c>
      <c r="P20" s="52">
        <v>0.25</v>
      </c>
      <c r="Q20" s="72">
        <f>R20*$C$20</f>
        <v>20789.8</v>
      </c>
      <c r="R20" s="52">
        <v>0.25</v>
      </c>
      <c r="S20" s="72">
        <f>T20*$C$20</f>
        <v>0</v>
      </c>
      <c r="T20" s="52"/>
      <c r="U20" s="72">
        <f>V20*$C$20</f>
        <v>0</v>
      </c>
      <c r="V20" s="52"/>
      <c r="W20" s="72">
        <f>X20*$C$20</f>
        <v>0</v>
      </c>
      <c r="X20" s="52"/>
      <c r="Z20" s="43">
        <f t="shared" si="0"/>
        <v>1</v>
      </c>
      <c r="AA20" s="76">
        <f t="shared" si="1"/>
        <v>83159.199999999997</v>
      </c>
    </row>
    <row r="21" spans="1:27" s="42" customFormat="1" ht="30" customHeight="1" x14ac:dyDescent="0.2">
      <c r="A21" s="75" t="s">
        <v>60</v>
      </c>
      <c r="B21" s="53" t="str">
        <f>[1]PLANILHA!D186</f>
        <v>INSTALAÇÕES HIDROSSANITÁRIAS</v>
      </c>
      <c r="C21" s="57">
        <f>[1]PLANILHA!H290</f>
        <v>168477.62</v>
      </c>
      <c r="D21" s="56">
        <f>C21/$C$29</f>
        <v>7.3099999999999998E-2</v>
      </c>
      <c r="E21" s="72">
        <f>F21*$C$21</f>
        <v>0</v>
      </c>
      <c r="F21" s="52"/>
      <c r="G21" s="72">
        <f>H21*$C$21</f>
        <v>0</v>
      </c>
      <c r="H21" s="52"/>
      <c r="I21" s="72">
        <f>J21*$C$21</f>
        <v>0</v>
      </c>
      <c r="J21" s="52"/>
      <c r="K21" s="72">
        <f>L21*$C$21</f>
        <v>0</v>
      </c>
      <c r="L21" s="52"/>
      <c r="M21" s="72">
        <f>N21*$C$21</f>
        <v>0</v>
      </c>
      <c r="N21" s="52"/>
      <c r="O21" s="72">
        <f>P21*$C$21</f>
        <v>0</v>
      </c>
      <c r="P21" s="52"/>
      <c r="Q21" s="72">
        <f>R21*$C$21</f>
        <v>84238.81</v>
      </c>
      <c r="R21" s="52">
        <v>0.5</v>
      </c>
      <c r="S21" s="72">
        <f>T21*$C$21</f>
        <v>84238.81</v>
      </c>
      <c r="T21" s="52">
        <v>0.5</v>
      </c>
      <c r="U21" s="72">
        <f>V21*$C$21</f>
        <v>0</v>
      </c>
      <c r="V21" s="52"/>
      <c r="W21" s="72">
        <f>X21*$C$21</f>
        <v>0</v>
      </c>
      <c r="X21" s="52"/>
      <c r="Z21" s="43">
        <f t="shared" si="0"/>
        <v>1</v>
      </c>
      <c r="AA21" s="76">
        <f t="shared" si="1"/>
        <v>168477.62</v>
      </c>
    </row>
    <row r="22" spans="1:27" s="42" customFormat="1" ht="30" customHeight="1" x14ac:dyDescent="0.2">
      <c r="A22" s="75" t="s">
        <v>61</v>
      </c>
      <c r="B22" s="53" t="str">
        <f>[1]PLANILHA!D291</f>
        <v>INSTALAÇÕES ELÉTRICAS</v>
      </c>
      <c r="C22" s="57">
        <f>[1]PLANILHA!H356</f>
        <v>194733.08</v>
      </c>
      <c r="D22" s="56">
        <f>C22/$C$29</f>
        <v>8.4500000000000006E-2</v>
      </c>
      <c r="E22" s="72">
        <f>F22*$C$22</f>
        <v>0</v>
      </c>
      <c r="F22" s="52"/>
      <c r="G22" s="72">
        <f>H22*$C$22</f>
        <v>0</v>
      </c>
      <c r="H22" s="52"/>
      <c r="I22" s="72">
        <f>J22*$C$22</f>
        <v>0</v>
      </c>
      <c r="J22" s="52"/>
      <c r="K22" s="72">
        <f>L22*$C$22</f>
        <v>0</v>
      </c>
      <c r="L22" s="52"/>
      <c r="M22" s="72">
        <f>N22*$C$22</f>
        <v>0</v>
      </c>
      <c r="N22" s="52"/>
      <c r="O22" s="72">
        <f>P22*$C$22</f>
        <v>0</v>
      </c>
      <c r="P22" s="52"/>
      <c r="Q22" s="72">
        <f>R22*$C$22</f>
        <v>77893.23</v>
      </c>
      <c r="R22" s="52">
        <v>0.4</v>
      </c>
      <c r="S22" s="72">
        <f>T22*$C$22</f>
        <v>77893.23</v>
      </c>
      <c r="T22" s="52">
        <v>0.4</v>
      </c>
      <c r="U22" s="72">
        <f>V22*$C$22</f>
        <v>19473.310000000001</v>
      </c>
      <c r="V22" s="52">
        <v>0.1</v>
      </c>
      <c r="W22" s="72">
        <f>X22*$C$22</f>
        <v>19473.310000000001</v>
      </c>
      <c r="X22" s="52">
        <v>0.1</v>
      </c>
      <c r="Z22" s="43">
        <f t="shared" si="0"/>
        <v>1</v>
      </c>
      <c r="AA22" s="76">
        <f t="shared" si="1"/>
        <v>194733.08</v>
      </c>
    </row>
    <row r="23" spans="1:27" s="42" customFormat="1" ht="30" customHeight="1" x14ac:dyDescent="0.2">
      <c r="A23" s="75" t="s">
        <v>62</v>
      </c>
      <c r="B23" s="53" t="str">
        <f>[1]PLANILHA!D357</f>
        <v>CLIMATIZAÇÃO</v>
      </c>
      <c r="C23" s="57">
        <f>[1]PLANILHA!H372</f>
        <v>80701.89</v>
      </c>
      <c r="D23" s="56">
        <f>C23/$C$29</f>
        <v>3.5000000000000003E-2</v>
      </c>
      <c r="E23" s="72">
        <f>F23*$C$23</f>
        <v>0</v>
      </c>
      <c r="F23" s="52"/>
      <c r="G23" s="72">
        <f>H23*$C$23</f>
        <v>0</v>
      </c>
      <c r="H23" s="52"/>
      <c r="I23" s="72">
        <f>J23*$C$23</f>
        <v>0</v>
      </c>
      <c r="J23" s="52"/>
      <c r="K23" s="72">
        <f>L23*$C$23</f>
        <v>20175.47</v>
      </c>
      <c r="L23" s="52">
        <v>0.25</v>
      </c>
      <c r="M23" s="72">
        <f>N23*$C$23</f>
        <v>20175.47</v>
      </c>
      <c r="N23" s="52">
        <v>0.25</v>
      </c>
      <c r="O23" s="72">
        <f>P23*$C$23</f>
        <v>12105.28</v>
      </c>
      <c r="P23" s="52">
        <v>0.15</v>
      </c>
      <c r="Q23" s="72">
        <f>R23*$C$23</f>
        <v>12105.28</v>
      </c>
      <c r="R23" s="52">
        <v>0.15</v>
      </c>
      <c r="S23" s="72">
        <f>T23*$C$23</f>
        <v>12105.28</v>
      </c>
      <c r="T23" s="52">
        <v>0.15</v>
      </c>
      <c r="U23" s="72">
        <f>V23*$C$23</f>
        <v>0</v>
      </c>
      <c r="V23" s="52"/>
      <c r="W23" s="72">
        <f>X23*$C$23</f>
        <v>4035.09</v>
      </c>
      <c r="X23" s="52">
        <v>0.05</v>
      </c>
      <c r="Z23" s="43">
        <f t="shared" si="0"/>
        <v>1</v>
      </c>
      <c r="AA23" s="76">
        <f t="shared" si="1"/>
        <v>80701.87</v>
      </c>
    </row>
    <row r="24" spans="1:27" s="42" customFormat="1" ht="30" customHeight="1" x14ac:dyDescent="0.2">
      <c r="A24" s="75" t="s">
        <v>63</v>
      </c>
      <c r="B24" s="53" t="str">
        <f>[1]PLANILHA!D373</f>
        <v>REDE E TELEFONIA</v>
      </c>
      <c r="C24" s="57">
        <f>[1]PLANILHA!H376</f>
        <v>3724.5</v>
      </c>
      <c r="D24" s="56">
        <f>C24/$C$29</f>
        <v>1.6000000000000001E-3</v>
      </c>
      <c r="E24" s="72">
        <f>F24*$C$24</f>
        <v>0</v>
      </c>
      <c r="F24" s="52"/>
      <c r="G24" s="72">
        <f>H24*$C$24</f>
        <v>0</v>
      </c>
      <c r="H24" s="52"/>
      <c r="I24" s="72">
        <f>J24*$C$24</f>
        <v>0</v>
      </c>
      <c r="J24" s="52"/>
      <c r="K24" s="72">
        <f>L24*$C$24</f>
        <v>0</v>
      </c>
      <c r="L24" s="52"/>
      <c r="M24" s="72">
        <f>N24*$C$24</f>
        <v>0</v>
      </c>
      <c r="N24" s="52"/>
      <c r="O24" s="72">
        <f>P24*$C$24</f>
        <v>0</v>
      </c>
      <c r="P24" s="52"/>
      <c r="Q24" s="72">
        <f>R24*$C$24</f>
        <v>931.13</v>
      </c>
      <c r="R24" s="52">
        <v>0.25</v>
      </c>
      <c r="S24" s="72">
        <f>T24*$C$24</f>
        <v>931.13</v>
      </c>
      <c r="T24" s="52">
        <v>0.25</v>
      </c>
      <c r="U24" s="72">
        <f>V24*$C$24</f>
        <v>931.13</v>
      </c>
      <c r="V24" s="52">
        <v>0.25</v>
      </c>
      <c r="W24" s="72">
        <f>X24*$C$24</f>
        <v>931.13</v>
      </c>
      <c r="X24" s="52">
        <v>0.25</v>
      </c>
      <c r="Z24" s="43">
        <f t="shared" si="0"/>
        <v>1</v>
      </c>
      <c r="AA24" s="76">
        <f t="shared" si="1"/>
        <v>3724.52</v>
      </c>
    </row>
    <row r="25" spans="1:27" s="42" customFormat="1" ht="30" customHeight="1" x14ac:dyDescent="0.2">
      <c r="A25" s="75" t="s">
        <v>64</v>
      </c>
      <c r="B25" s="53" t="str">
        <f>[1]PLANILHA!D377</f>
        <v>URBANIZAÇÃO</v>
      </c>
      <c r="C25" s="57">
        <f>[1]PLANILHA!H381</f>
        <v>4870.71</v>
      </c>
      <c r="D25" s="56">
        <f>C25/$C$29</f>
        <v>2.0999999999999999E-3</v>
      </c>
      <c r="E25" s="72">
        <f>F25*$C$25</f>
        <v>0</v>
      </c>
      <c r="F25" s="52"/>
      <c r="G25" s="72">
        <f>H25*$C$25</f>
        <v>0</v>
      </c>
      <c r="H25" s="52"/>
      <c r="I25" s="72">
        <f>J25*$C$25</f>
        <v>0</v>
      </c>
      <c r="J25" s="52"/>
      <c r="K25" s="72">
        <f>L25*$C$25</f>
        <v>0</v>
      </c>
      <c r="L25" s="52"/>
      <c r="M25" s="72">
        <f>N25*$C$25</f>
        <v>0</v>
      </c>
      <c r="N25" s="52"/>
      <c r="O25" s="72">
        <f>P25*$C$25</f>
        <v>1217.68</v>
      </c>
      <c r="P25" s="52">
        <v>0.25</v>
      </c>
      <c r="Q25" s="72">
        <f>R25*$C$25</f>
        <v>1217.68</v>
      </c>
      <c r="R25" s="52">
        <v>0.25</v>
      </c>
      <c r="S25" s="72">
        <f>T25*$C$25</f>
        <v>974.14</v>
      </c>
      <c r="T25" s="52">
        <v>0.2</v>
      </c>
      <c r="U25" s="72">
        <f>V25*$C$25</f>
        <v>974.14</v>
      </c>
      <c r="V25" s="52">
        <v>0.2</v>
      </c>
      <c r="W25" s="72">
        <f>X25*$C$25</f>
        <v>487.07</v>
      </c>
      <c r="X25" s="52">
        <v>0.1</v>
      </c>
      <c r="Z25" s="43">
        <f t="shared" si="0"/>
        <v>1</v>
      </c>
      <c r="AA25" s="76">
        <f t="shared" si="1"/>
        <v>4870.71</v>
      </c>
    </row>
    <row r="26" spans="1:27" s="42" customFormat="1" ht="30" customHeight="1" x14ac:dyDescent="0.2">
      <c r="A26" s="75" t="s">
        <v>68</v>
      </c>
      <c r="B26" s="53" t="str">
        <f>[1]PLANILHA!D382</f>
        <v>MUROS</v>
      </c>
      <c r="C26" s="57">
        <f>[1]PLANILHA!H404</f>
        <v>97497.41</v>
      </c>
      <c r="D26" s="56">
        <f>C26/$C$29</f>
        <v>4.2299999999999997E-2</v>
      </c>
      <c r="E26" s="72">
        <f>F26*$C$26</f>
        <v>0</v>
      </c>
      <c r="F26" s="52"/>
      <c r="G26" s="72">
        <f>H26*$C$26</f>
        <v>0</v>
      </c>
      <c r="H26" s="52"/>
      <c r="I26" s="72">
        <f>J26*$C$26</f>
        <v>0</v>
      </c>
      <c r="J26" s="52"/>
      <c r="K26" s="72">
        <f>L26*$C$26</f>
        <v>0</v>
      </c>
      <c r="L26" s="52"/>
      <c r="M26" s="72">
        <f>N26*$C$26</f>
        <v>0</v>
      </c>
      <c r="N26" s="52"/>
      <c r="O26" s="72">
        <f>P26*$C$26</f>
        <v>0</v>
      </c>
      <c r="P26" s="52"/>
      <c r="Q26" s="72">
        <f>R26*$C$26</f>
        <v>0</v>
      </c>
      <c r="R26" s="52"/>
      <c r="S26" s="72">
        <f>T26*$C$26</f>
        <v>0</v>
      </c>
      <c r="T26" s="52"/>
      <c r="U26" s="72">
        <f>V26*$C$26</f>
        <v>48748.71</v>
      </c>
      <c r="V26" s="52">
        <v>0.5</v>
      </c>
      <c r="W26" s="72">
        <f>X26*$C$26</f>
        <v>48748.71</v>
      </c>
      <c r="X26" s="52">
        <v>0.5</v>
      </c>
      <c r="Z26" s="43">
        <f t="shared" si="0"/>
        <v>1</v>
      </c>
      <c r="AA26" s="76">
        <f t="shared" si="1"/>
        <v>97497.42</v>
      </c>
    </row>
    <row r="27" spans="1:27" s="42" customFormat="1" ht="30" customHeight="1" x14ac:dyDescent="0.2">
      <c r="A27" s="75" t="s">
        <v>847</v>
      </c>
      <c r="B27" s="53" t="str">
        <f>[1]PLANILHA!D405</f>
        <v>SERVIÇOS COMPLEMENTARES</v>
      </c>
      <c r="C27" s="57">
        <f>[1]PLANILHA!H408</f>
        <v>13548.14</v>
      </c>
      <c r="D27" s="56">
        <f>C27/$C$29</f>
        <v>5.8999999999999999E-3</v>
      </c>
      <c r="E27" s="72">
        <f>F27*$C$27</f>
        <v>0</v>
      </c>
      <c r="F27" s="52"/>
      <c r="G27" s="72">
        <f>H27*$C$27</f>
        <v>0</v>
      </c>
      <c r="H27" s="52"/>
      <c r="I27" s="72">
        <f>J27*$C$27</f>
        <v>0</v>
      </c>
      <c r="J27" s="52"/>
      <c r="K27" s="72">
        <f>L27*$C$27</f>
        <v>0</v>
      </c>
      <c r="L27" s="52"/>
      <c r="M27" s="72">
        <f>N27*$C$27</f>
        <v>0</v>
      </c>
      <c r="N27" s="52"/>
      <c r="O27" s="72">
        <f>P27*$C$27</f>
        <v>0</v>
      </c>
      <c r="P27" s="52"/>
      <c r="Q27" s="72">
        <f>R27*$C$27</f>
        <v>0</v>
      </c>
      <c r="R27" s="52"/>
      <c r="S27" s="72">
        <f>T27*$C$27</f>
        <v>0</v>
      </c>
      <c r="T27" s="52"/>
      <c r="U27" s="72">
        <f>V27*$C$27</f>
        <v>6774.07</v>
      </c>
      <c r="V27" s="52">
        <v>0.5</v>
      </c>
      <c r="W27" s="72">
        <f>X27*$C$27</f>
        <v>6774.07</v>
      </c>
      <c r="X27" s="52">
        <v>0.5</v>
      </c>
      <c r="Z27" s="43">
        <f t="shared" ref="Z27" si="2">X27+V27+T27+R27+P27+N27+L27+J27+H27+F27</f>
        <v>1</v>
      </c>
      <c r="AA27" s="76">
        <f t="shared" ref="AA27" si="3">SUM(E27,G27,I27,K27,M27,O27,Q27,S27,U27,W27)</f>
        <v>13548.14</v>
      </c>
    </row>
    <row r="28" spans="1:27" s="69" customFormat="1" ht="30" customHeight="1" x14ac:dyDescent="0.2">
      <c r="A28" s="70"/>
      <c r="B28" s="71"/>
      <c r="C28" s="72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</row>
    <row r="29" spans="1:27" s="64" customFormat="1" ht="30" customHeight="1" x14ac:dyDescent="0.2">
      <c r="A29" s="58" t="s">
        <v>65</v>
      </c>
      <c r="B29" s="59"/>
      <c r="C29" s="60">
        <f>SUM(C11:C27)</f>
        <v>2304470.4700000002</v>
      </c>
      <c r="D29" s="61">
        <f>SUM(D11:D27)</f>
        <v>0.99990000000000001</v>
      </c>
      <c r="E29" s="62">
        <f>SUM(E11:E27)</f>
        <v>68399.97</v>
      </c>
      <c r="F29" s="63">
        <f>E29/$C$29</f>
        <v>2.9700000000000001E-2</v>
      </c>
      <c r="G29" s="62">
        <f>SUM(G11:G27)</f>
        <v>99279.21</v>
      </c>
      <c r="H29" s="63">
        <f>G29/$C$29</f>
        <v>4.3099999999999999E-2</v>
      </c>
      <c r="I29" s="62">
        <f>SUM(I11:I27)</f>
        <v>193620.62</v>
      </c>
      <c r="J29" s="63">
        <f>I29/$C$29</f>
        <v>8.4000000000000005E-2</v>
      </c>
      <c r="K29" s="62">
        <f>SUM(K11:K27)</f>
        <v>368176.84</v>
      </c>
      <c r="L29" s="63">
        <f>K29/$C$29</f>
        <v>0.1598</v>
      </c>
      <c r="M29" s="62">
        <f>SUM(M11:M27)</f>
        <v>416500.55</v>
      </c>
      <c r="N29" s="63">
        <f>M29/$C$29</f>
        <v>0.1807</v>
      </c>
      <c r="O29" s="62">
        <f>SUM(O11:O27)</f>
        <v>285270.90000000002</v>
      </c>
      <c r="P29" s="63">
        <f>O29/$C$29</f>
        <v>0.12379999999999999</v>
      </c>
      <c r="Q29" s="62">
        <f>SUM(Q11:Q27)</f>
        <v>448334.07</v>
      </c>
      <c r="R29" s="63">
        <f>Q29/$C$29</f>
        <v>0.19450000000000001</v>
      </c>
      <c r="S29" s="62">
        <f>SUM(S11:S27)</f>
        <v>255876.78</v>
      </c>
      <c r="T29" s="63">
        <f>S29/$C$29</f>
        <v>0.111</v>
      </c>
      <c r="U29" s="62">
        <f>SUM(U11:U27)</f>
        <v>76901.36</v>
      </c>
      <c r="V29" s="63">
        <f>U29/$C$29</f>
        <v>3.3399999999999999E-2</v>
      </c>
      <c r="W29" s="62">
        <f>SUM(W11:W27)</f>
        <v>92110.14</v>
      </c>
      <c r="X29" s="63">
        <f>W29/$C$29</f>
        <v>0.04</v>
      </c>
      <c r="AA29" s="77">
        <f>SUM(AA11:AA28)</f>
        <v>2304470.44</v>
      </c>
    </row>
    <row r="30" spans="1:27" s="69" customFormat="1" ht="30" customHeight="1" x14ac:dyDescent="0.2">
      <c r="A30" s="65"/>
      <c r="B30" s="66"/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</row>
    <row r="31" spans="1:27" s="64" customFormat="1" ht="30" customHeight="1" x14ac:dyDescent="0.2">
      <c r="A31" s="214" t="s">
        <v>66</v>
      </c>
      <c r="B31" s="214"/>
      <c r="C31" s="214"/>
      <c r="D31" s="214"/>
      <c r="E31" s="62">
        <f t="shared" ref="E31:W31" si="4">E29</f>
        <v>68399.97</v>
      </c>
      <c r="F31" s="63">
        <f t="shared" si="4"/>
        <v>2.9700000000000001E-2</v>
      </c>
      <c r="G31" s="62">
        <f t="shared" si="4"/>
        <v>99279.21</v>
      </c>
      <c r="H31" s="63">
        <f>H29</f>
        <v>4.3099999999999999E-2</v>
      </c>
      <c r="I31" s="62">
        <f t="shared" si="4"/>
        <v>193620.62</v>
      </c>
      <c r="J31" s="63">
        <f>J29</f>
        <v>8.4000000000000005E-2</v>
      </c>
      <c r="K31" s="62">
        <f t="shared" si="4"/>
        <v>368176.84</v>
      </c>
      <c r="L31" s="63">
        <f>L29</f>
        <v>0.1598</v>
      </c>
      <c r="M31" s="62">
        <f t="shared" si="4"/>
        <v>416500.55</v>
      </c>
      <c r="N31" s="63">
        <f>N29</f>
        <v>0.1807</v>
      </c>
      <c r="O31" s="62">
        <f t="shared" si="4"/>
        <v>285270.90000000002</v>
      </c>
      <c r="P31" s="63">
        <f>P29</f>
        <v>0.12379999999999999</v>
      </c>
      <c r="Q31" s="62">
        <f t="shared" si="4"/>
        <v>448334.07</v>
      </c>
      <c r="R31" s="63">
        <f>R29</f>
        <v>0.19450000000000001</v>
      </c>
      <c r="S31" s="62">
        <f t="shared" si="4"/>
        <v>255876.78</v>
      </c>
      <c r="T31" s="63">
        <f>T29</f>
        <v>0.111</v>
      </c>
      <c r="U31" s="62">
        <f t="shared" si="4"/>
        <v>76901.36</v>
      </c>
      <c r="V31" s="63">
        <f>V29</f>
        <v>3.3399999999999999E-2</v>
      </c>
      <c r="W31" s="62">
        <f t="shared" si="4"/>
        <v>92110.14</v>
      </c>
      <c r="X31" s="63">
        <f>X29</f>
        <v>0.04</v>
      </c>
    </row>
    <row r="32" spans="1:27" s="64" customFormat="1" ht="30" customHeight="1" x14ac:dyDescent="0.2">
      <c r="A32" s="214" t="s">
        <v>67</v>
      </c>
      <c r="B32" s="214"/>
      <c r="C32" s="214"/>
      <c r="D32" s="214"/>
      <c r="E32" s="62">
        <f>0+E31</f>
        <v>68399.97</v>
      </c>
      <c r="F32" s="63">
        <f>F31</f>
        <v>2.9700000000000001E-2</v>
      </c>
      <c r="G32" s="62">
        <f t="shared" ref="G32:U32" si="5">E32+G31</f>
        <v>167679.18</v>
      </c>
      <c r="H32" s="63">
        <f>F32+H31</f>
        <v>7.2800000000000004E-2</v>
      </c>
      <c r="I32" s="62">
        <f t="shared" si="5"/>
        <v>361299.8</v>
      </c>
      <c r="J32" s="63">
        <f>H32+J31</f>
        <v>0.15679999999999999</v>
      </c>
      <c r="K32" s="62">
        <f t="shared" si="5"/>
        <v>729476.64</v>
      </c>
      <c r="L32" s="63">
        <f>J32+L31</f>
        <v>0.31659999999999999</v>
      </c>
      <c r="M32" s="62">
        <f t="shared" si="5"/>
        <v>1145977.19</v>
      </c>
      <c r="N32" s="63">
        <f>L32+N31</f>
        <v>0.49730000000000002</v>
      </c>
      <c r="O32" s="62">
        <f t="shared" si="5"/>
        <v>1431248.09</v>
      </c>
      <c r="P32" s="63">
        <f>N32+P31</f>
        <v>0.62109999999999999</v>
      </c>
      <c r="Q32" s="62">
        <f t="shared" si="5"/>
        <v>1879582.16</v>
      </c>
      <c r="R32" s="63">
        <f>P32+R31</f>
        <v>0.81559999999999999</v>
      </c>
      <c r="S32" s="62">
        <f t="shared" si="5"/>
        <v>2135458.94</v>
      </c>
      <c r="T32" s="63">
        <f>R32+T31</f>
        <v>0.92659999999999998</v>
      </c>
      <c r="U32" s="62">
        <f t="shared" si="5"/>
        <v>2212360.2999999998</v>
      </c>
      <c r="V32" s="63">
        <f>T32+V31</f>
        <v>0.96</v>
      </c>
      <c r="W32" s="62">
        <f>U32+W31</f>
        <v>2304470.44</v>
      </c>
      <c r="X32" s="63">
        <v>1</v>
      </c>
    </row>
    <row r="33" spans="1:24" ht="15.75" customHeight="1" x14ac:dyDescent="0.2">
      <c r="A33" s="208"/>
      <c r="B33" s="208"/>
      <c r="C33" s="208"/>
      <c r="D33" s="208"/>
      <c r="E33" s="213"/>
      <c r="F33" s="208"/>
      <c r="G33" s="208"/>
      <c r="H33" s="208"/>
    </row>
    <row r="34" spans="1:24" ht="15.75" customHeight="1" x14ac:dyDescent="0.2">
      <c r="A34" s="208"/>
      <c r="B34" s="208"/>
      <c r="C34" s="208"/>
      <c r="D34" s="208"/>
      <c r="E34" s="213"/>
      <c r="F34" s="208"/>
      <c r="G34" s="208"/>
      <c r="H34" s="208"/>
      <c r="P34" s="196" t="s">
        <v>864</v>
      </c>
      <c r="Q34" s="196"/>
      <c r="R34" s="196"/>
      <c r="S34" s="196"/>
      <c r="T34" s="196"/>
      <c r="U34" s="196"/>
      <c r="V34" s="196"/>
      <c r="W34" s="196"/>
      <c r="X34" s="196"/>
    </row>
    <row r="35" spans="1:24" ht="15.75" customHeight="1" x14ac:dyDescent="0.2">
      <c r="A35" s="47"/>
      <c r="B35" s="47"/>
      <c r="C35" s="47"/>
      <c r="D35" s="47"/>
      <c r="E35" s="48"/>
      <c r="F35" s="47"/>
      <c r="G35" s="47"/>
      <c r="H35" s="47"/>
      <c r="P35" s="81"/>
      <c r="Q35" s="81"/>
      <c r="R35" s="81"/>
      <c r="S35" s="81"/>
      <c r="T35" s="81"/>
      <c r="U35" s="81"/>
      <c r="V35" s="81"/>
      <c r="W35" s="81"/>
      <c r="X35" s="81"/>
    </row>
    <row r="36" spans="1:24" ht="15.75" customHeight="1" x14ac:dyDescent="0.2">
      <c r="A36" s="47"/>
      <c r="B36" s="47"/>
      <c r="C36" s="47"/>
      <c r="D36" s="47"/>
      <c r="E36" s="48"/>
      <c r="F36" s="47"/>
      <c r="G36" s="47"/>
      <c r="H36" s="47"/>
      <c r="P36" s="81"/>
      <c r="Q36" s="81"/>
      <c r="R36" s="81"/>
      <c r="S36" s="81"/>
      <c r="T36" s="81"/>
      <c r="U36" s="81"/>
      <c r="V36" s="81"/>
      <c r="W36" s="81"/>
      <c r="X36" s="81"/>
    </row>
    <row r="37" spans="1:24" ht="15.75" customHeight="1" x14ac:dyDescent="0.2">
      <c r="A37" s="47"/>
      <c r="B37" s="47"/>
      <c r="C37" s="47"/>
      <c r="D37" s="47"/>
      <c r="E37" s="48"/>
      <c r="F37" s="47"/>
      <c r="G37" s="47"/>
      <c r="H37" s="47"/>
      <c r="P37" s="81"/>
      <c r="Q37" s="81"/>
      <c r="R37" s="81"/>
      <c r="S37" s="81"/>
      <c r="T37" s="81"/>
      <c r="U37" s="81"/>
      <c r="V37" s="81"/>
      <c r="W37" s="81"/>
      <c r="X37" s="81"/>
    </row>
    <row r="38" spans="1:24" ht="15.75" x14ac:dyDescent="0.2">
      <c r="A38" s="8"/>
      <c r="B38" s="8"/>
      <c r="C38" s="9"/>
      <c r="D38" s="209"/>
      <c r="E38" s="209"/>
      <c r="F38" s="209"/>
      <c r="G38" s="209"/>
      <c r="H38" s="209"/>
      <c r="P38" s="51"/>
      <c r="Q38" s="51"/>
      <c r="R38" s="51"/>
      <c r="S38" s="51"/>
      <c r="T38" s="51"/>
      <c r="U38" s="51"/>
      <c r="V38" s="51"/>
      <c r="W38" s="51"/>
    </row>
    <row r="39" spans="1:24" ht="15" x14ac:dyDescent="0.2">
      <c r="A39" s="10"/>
      <c r="B39" s="11"/>
      <c r="C39" s="12"/>
      <c r="D39" s="13"/>
      <c r="E39" s="14"/>
      <c r="F39" s="15"/>
      <c r="G39" s="16"/>
      <c r="H39" s="6"/>
      <c r="P39" s="79"/>
      <c r="Q39" s="79"/>
      <c r="R39" s="79"/>
      <c r="S39" s="79"/>
      <c r="T39" s="79"/>
      <c r="U39" s="79"/>
      <c r="V39" s="79"/>
      <c r="W39" s="79"/>
    </row>
    <row r="40" spans="1:24" ht="15" customHeight="1" x14ac:dyDescent="0.2">
      <c r="A40" s="10"/>
      <c r="B40" s="11"/>
      <c r="C40" s="12"/>
      <c r="D40" s="13"/>
      <c r="E40" s="14"/>
      <c r="F40" s="78"/>
      <c r="G40" s="16"/>
      <c r="H40" s="6"/>
      <c r="P40" s="80"/>
      <c r="Q40" s="80"/>
      <c r="R40" s="197" t="s">
        <v>15</v>
      </c>
      <c r="S40" s="197"/>
      <c r="T40" s="197"/>
      <c r="U40" s="197"/>
      <c r="V40" s="197"/>
      <c r="W40" s="197"/>
      <c r="X40" s="197"/>
    </row>
    <row r="41" spans="1:24" ht="15" customHeight="1" x14ac:dyDescent="0.2">
      <c r="A41" s="10"/>
      <c r="B41" s="11"/>
      <c r="C41" s="12"/>
      <c r="D41" s="13"/>
      <c r="E41" s="14"/>
      <c r="F41" s="15"/>
      <c r="G41" s="16"/>
      <c r="H41" s="6"/>
      <c r="P41" s="80"/>
      <c r="Q41" s="80"/>
      <c r="R41" s="197" t="s">
        <v>92</v>
      </c>
      <c r="S41" s="197"/>
      <c r="T41" s="197"/>
      <c r="U41" s="197"/>
      <c r="V41" s="197"/>
      <c r="W41" s="197"/>
      <c r="X41" s="197"/>
    </row>
    <row r="42" spans="1:24" ht="15" customHeight="1" x14ac:dyDescent="0.2">
      <c r="A42" s="10"/>
      <c r="B42" s="11"/>
      <c r="C42" s="12"/>
      <c r="D42" s="13"/>
      <c r="E42" s="14"/>
      <c r="F42" s="15"/>
      <c r="G42" s="16"/>
      <c r="H42" s="6"/>
      <c r="R42" s="197"/>
      <c r="S42" s="197"/>
      <c r="T42" s="197"/>
      <c r="U42" s="197"/>
      <c r="V42" s="197"/>
      <c r="W42" s="197"/>
      <c r="X42" s="197"/>
    </row>
    <row r="43" spans="1:24" ht="15" x14ac:dyDescent="0.2">
      <c r="A43" s="10"/>
      <c r="B43" s="11"/>
      <c r="C43" s="12"/>
      <c r="D43" s="13"/>
      <c r="E43" s="14"/>
      <c r="F43" s="15"/>
      <c r="G43" s="16"/>
      <c r="H43" s="6"/>
    </row>
    <row r="44" spans="1:24" ht="15.75" x14ac:dyDescent="0.2">
      <c r="A44" s="9"/>
      <c r="B44" s="9"/>
      <c r="C44" s="9"/>
      <c r="D44" s="17"/>
      <c r="E44" s="18"/>
      <c r="F44" s="19"/>
      <c r="G44" s="18"/>
      <c r="H44" s="20"/>
    </row>
    <row r="45" spans="1:24" ht="15.75" x14ac:dyDescent="0.2">
      <c r="A45" s="8"/>
      <c r="B45" s="8"/>
      <c r="C45" s="9"/>
      <c r="D45" s="207"/>
      <c r="E45" s="207"/>
      <c r="F45" s="207"/>
      <c r="G45" s="207"/>
      <c r="H45" s="207"/>
    </row>
    <row r="46" spans="1:24" ht="15" x14ac:dyDescent="0.2">
      <c r="A46" s="10"/>
      <c r="B46" s="12"/>
      <c r="C46" s="12"/>
      <c r="D46" s="21"/>
      <c r="E46" s="22"/>
      <c r="F46" s="23"/>
      <c r="G46" s="16"/>
      <c r="H46" s="6"/>
    </row>
    <row r="47" spans="1:24" ht="15" x14ac:dyDescent="0.2">
      <c r="A47" s="10"/>
      <c r="B47" s="12"/>
      <c r="C47" s="12"/>
      <c r="D47" s="21"/>
      <c r="E47" s="22"/>
      <c r="F47" s="23"/>
      <c r="G47" s="16"/>
      <c r="H47" s="6"/>
    </row>
    <row r="48" spans="1:24" ht="15" x14ac:dyDescent="0.2">
      <c r="A48" s="10"/>
      <c r="B48" s="12"/>
      <c r="C48" s="12"/>
      <c r="D48" s="21"/>
      <c r="E48" s="22"/>
      <c r="F48" s="23"/>
      <c r="G48" s="16"/>
      <c r="H48" s="6"/>
    </row>
    <row r="49" spans="1:10" ht="15" x14ac:dyDescent="0.2">
      <c r="A49" s="10"/>
      <c r="B49" s="12"/>
      <c r="C49" s="12"/>
      <c r="D49" s="21"/>
      <c r="E49" s="22"/>
      <c r="F49" s="23"/>
      <c r="G49" s="16"/>
      <c r="H49" s="6"/>
    </row>
    <row r="50" spans="1:10" ht="15.75" x14ac:dyDescent="0.2">
      <c r="A50" s="9"/>
      <c r="B50" s="9"/>
      <c r="C50" s="9"/>
      <c r="D50" s="17"/>
      <c r="E50" s="18"/>
      <c r="F50" s="19"/>
      <c r="G50" s="18"/>
      <c r="H50" s="20"/>
    </row>
    <row r="51" spans="1:10" ht="15.75" x14ac:dyDescent="0.2">
      <c r="A51" s="8"/>
      <c r="B51" s="8"/>
      <c r="C51" s="9"/>
      <c r="D51" s="207"/>
      <c r="E51" s="207"/>
      <c r="F51" s="207"/>
      <c r="G51" s="207"/>
      <c r="H51" s="207"/>
    </row>
    <row r="52" spans="1:10" ht="15.75" x14ac:dyDescent="0.2">
      <c r="A52" s="8"/>
      <c r="B52" s="8"/>
      <c r="C52" s="12"/>
      <c r="D52" s="8"/>
      <c r="E52" s="16"/>
      <c r="F52" s="19"/>
      <c r="G52" s="16"/>
      <c r="H52" s="6"/>
    </row>
    <row r="53" spans="1:10" ht="15" x14ac:dyDescent="0.2">
      <c r="A53" s="10"/>
      <c r="B53" s="12"/>
      <c r="C53" s="12"/>
      <c r="D53" s="21"/>
      <c r="E53" s="14"/>
      <c r="F53" s="23"/>
      <c r="G53" s="16"/>
      <c r="H53" s="6"/>
    </row>
    <row r="54" spans="1:10" ht="15.75" x14ac:dyDescent="0.2">
      <c r="A54" s="8"/>
      <c r="B54" s="12"/>
      <c r="C54" s="12"/>
      <c r="D54" s="8"/>
      <c r="E54" s="16"/>
      <c r="F54" s="19"/>
      <c r="G54" s="16"/>
      <c r="H54" s="6"/>
      <c r="I54" s="4"/>
      <c r="J54" s="6"/>
    </row>
    <row r="55" spans="1:10" ht="15" x14ac:dyDescent="0.2">
      <c r="A55" s="10"/>
      <c r="B55" s="12"/>
      <c r="C55" s="12"/>
      <c r="D55" s="21"/>
      <c r="E55" s="14"/>
      <c r="F55" s="23"/>
      <c r="G55" s="16"/>
      <c r="H55" s="6"/>
    </row>
    <row r="56" spans="1:10" ht="15" x14ac:dyDescent="0.2">
      <c r="A56" s="10"/>
      <c r="B56" s="12"/>
      <c r="C56" s="12"/>
      <c r="D56" s="21"/>
      <c r="E56" s="14"/>
      <c r="F56" s="23"/>
      <c r="G56" s="16"/>
      <c r="H56" s="6"/>
    </row>
    <row r="57" spans="1:10" ht="15" x14ac:dyDescent="0.2">
      <c r="A57" s="10"/>
      <c r="B57" s="12"/>
      <c r="C57" s="12"/>
      <c r="D57" s="21"/>
      <c r="E57" s="14"/>
      <c r="F57" s="23"/>
      <c r="G57" s="16"/>
      <c r="H57" s="6"/>
    </row>
    <row r="58" spans="1:10" ht="15" x14ac:dyDescent="0.2">
      <c r="A58" s="10"/>
      <c r="B58" s="11"/>
      <c r="C58" s="12"/>
      <c r="D58" s="21"/>
      <c r="E58" s="14"/>
      <c r="F58" s="23"/>
      <c r="G58" s="16"/>
      <c r="H58" s="6"/>
    </row>
    <row r="59" spans="1:10" ht="15" x14ac:dyDescent="0.2">
      <c r="A59" s="10"/>
      <c r="B59" s="12"/>
      <c r="C59" s="12"/>
      <c r="D59" s="21"/>
      <c r="E59" s="14"/>
      <c r="F59" s="23"/>
      <c r="G59" s="16"/>
      <c r="H59" s="6"/>
    </row>
    <row r="60" spans="1:10" ht="15" x14ac:dyDescent="0.2">
      <c r="A60" s="10"/>
      <c r="B60" s="12"/>
      <c r="C60" s="12"/>
      <c r="D60" s="21"/>
      <c r="E60" s="14"/>
      <c r="F60" s="23"/>
      <c r="G60" s="16"/>
      <c r="H60" s="6"/>
    </row>
    <row r="61" spans="1:10" ht="15" x14ac:dyDescent="0.2">
      <c r="A61" s="10"/>
      <c r="B61" s="12"/>
      <c r="C61" s="12"/>
      <c r="D61" s="21"/>
      <c r="E61" s="14"/>
      <c r="F61" s="23"/>
      <c r="G61" s="16"/>
      <c r="H61" s="6"/>
    </row>
    <row r="62" spans="1:10" ht="15" x14ac:dyDescent="0.2">
      <c r="A62" s="10"/>
      <c r="B62" s="12"/>
      <c r="C62" s="12"/>
      <c r="D62" s="21"/>
      <c r="E62" s="14"/>
      <c r="F62" s="23"/>
      <c r="G62" s="16"/>
      <c r="H62" s="6"/>
    </row>
    <row r="63" spans="1:10" ht="15.75" x14ac:dyDescent="0.2">
      <c r="A63" s="9"/>
      <c r="B63" s="9"/>
      <c r="C63" s="9"/>
      <c r="D63" s="17"/>
      <c r="E63" s="18"/>
      <c r="F63" s="19"/>
      <c r="G63" s="18"/>
      <c r="H63" s="20"/>
      <c r="I63" s="4"/>
      <c r="J63" s="2"/>
    </row>
    <row r="64" spans="1:10" ht="15.75" x14ac:dyDescent="0.2">
      <c r="A64" s="8"/>
      <c r="B64" s="8"/>
      <c r="C64" s="9"/>
      <c r="D64" s="207"/>
      <c r="E64" s="207"/>
      <c r="F64" s="207"/>
      <c r="G64" s="207"/>
      <c r="H64" s="207"/>
    </row>
    <row r="65" spans="1:10" ht="15.75" x14ac:dyDescent="0.2">
      <c r="A65" s="8"/>
      <c r="B65" s="8"/>
      <c r="C65" s="9"/>
      <c r="D65" s="8"/>
      <c r="E65" s="16"/>
      <c r="F65" s="19"/>
      <c r="G65" s="16"/>
      <c r="H65" s="6"/>
    </row>
    <row r="66" spans="1:10" ht="15" x14ac:dyDescent="0.2">
      <c r="A66" s="10"/>
      <c r="B66" s="11"/>
      <c r="C66" s="12"/>
      <c r="D66" s="21"/>
      <c r="E66" s="14"/>
      <c r="F66" s="23"/>
      <c r="G66" s="16"/>
      <c r="H66" s="6"/>
    </row>
    <row r="67" spans="1:10" ht="15" x14ac:dyDescent="0.2">
      <c r="A67" s="10"/>
      <c r="B67" s="12"/>
      <c r="C67" s="12"/>
      <c r="D67" s="21"/>
      <c r="E67" s="16"/>
      <c r="F67" s="19"/>
      <c r="G67" s="16"/>
      <c r="H67" s="6"/>
      <c r="J67" s="2"/>
    </row>
    <row r="68" spans="1:10" ht="15" x14ac:dyDescent="0.2">
      <c r="A68" s="10"/>
      <c r="B68" s="12"/>
      <c r="C68" s="12"/>
      <c r="D68" s="21"/>
      <c r="E68" s="14"/>
      <c r="F68" s="23"/>
      <c r="G68" s="16"/>
      <c r="H68" s="6"/>
    </row>
    <row r="69" spans="1:10" ht="15.75" x14ac:dyDescent="0.2">
      <c r="A69" s="8"/>
      <c r="B69" s="8"/>
      <c r="C69" s="9"/>
      <c r="D69" s="8"/>
      <c r="E69" s="16"/>
      <c r="F69" s="19"/>
      <c r="G69" s="16"/>
      <c r="H69" s="6"/>
    </row>
    <row r="70" spans="1:10" ht="15" x14ac:dyDescent="0.2">
      <c r="A70" s="10"/>
      <c r="B70" s="12"/>
      <c r="C70" s="19"/>
      <c r="D70" s="21"/>
      <c r="E70" s="16"/>
      <c r="F70" s="19"/>
      <c r="G70" s="16"/>
      <c r="H70" s="6"/>
      <c r="J70" s="2"/>
    </row>
    <row r="71" spans="1:10" ht="15" x14ac:dyDescent="0.2">
      <c r="A71" s="10"/>
      <c r="B71" s="12"/>
      <c r="C71" s="19"/>
      <c r="D71" s="21"/>
      <c r="E71" s="16"/>
      <c r="F71" s="19"/>
      <c r="G71" s="16"/>
      <c r="H71" s="6"/>
    </row>
    <row r="72" spans="1:10" ht="15.75" x14ac:dyDescent="0.2">
      <c r="A72" s="24"/>
      <c r="B72" s="24"/>
      <c r="C72" s="24"/>
      <c r="D72" s="25"/>
      <c r="E72" s="26"/>
      <c r="F72" s="27"/>
      <c r="G72" s="26"/>
      <c r="H72" s="28"/>
      <c r="J72" s="2"/>
    </row>
    <row r="73" spans="1:10" ht="15.75" x14ac:dyDescent="0.2">
      <c r="A73" s="29"/>
      <c r="B73" s="29"/>
      <c r="C73" s="24"/>
      <c r="D73" s="210"/>
      <c r="E73" s="210"/>
      <c r="F73" s="210"/>
      <c r="G73" s="210"/>
      <c r="H73" s="210"/>
    </row>
    <row r="74" spans="1:10" ht="15" x14ac:dyDescent="0.2">
      <c r="A74" s="10"/>
      <c r="B74" s="12"/>
      <c r="C74" s="12"/>
      <c r="D74" s="30"/>
      <c r="E74" s="16"/>
      <c r="F74" s="19"/>
      <c r="G74" s="16"/>
      <c r="H74" s="6"/>
      <c r="J74" s="2"/>
    </row>
    <row r="75" spans="1:10" ht="15" x14ac:dyDescent="0.2">
      <c r="A75" s="10"/>
      <c r="B75" s="12"/>
      <c r="C75" s="12"/>
      <c r="D75" s="30"/>
      <c r="E75" s="16"/>
      <c r="F75" s="19"/>
      <c r="G75" s="16"/>
      <c r="H75" s="6"/>
      <c r="J75" s="2"/>
    </row>
    <row r="76" spans="1:10" ht="15" x14ac:dyDescent="0.2">
      <c r="A76" s="10"/>
      <c r="B76" s="12"/>
      <c r="C76" s="12"/>
      <c r="D76" s="30"/>
      <c r="E76" s="16"/>
      <c r="F76" s="19"/>
      <c r="G76" s="16"/>
      <c r="H76" s="6"/>
      <c r="J76" s="2"/>
    </row>
    <row r="77" spans="1:10" ht="15" x14ac:dyDescent="0.2">
      <c r="A77" s="10"/>
      <c r="B77" s="12"/>
      <c r="C77" s="12"/>
      <c r="D77" s="30"/>
      <c r="E77" s="16"/>
      <c r="F77" s="19"/>
      <c r="G77" s="16"/>
      <c r="H77" s="6"/>
      <c r="J77" s="2"/>
    </row>
    <row r="78" spans="1:10" ht="15" x14ac:dyDescent="0.2">
      <c r="A78" s="10"/>
      <c r="B78" s="12"/>
      <c r="C78" s="12"/>
      <c r="D78" s="30"/>
      <c r="E78" s="16"/>
      <c r="F78" s="19"/>
      <c r="G78" s="16"/>
      <c r="H78" s="6"/>
      <c r="J78" s="2"/>
    </row>
    <row r="79" spans="1:10" ht="15.75" x14ac:dyDescent="0.2">
      <c r="A79" s="24"/>
      <c r="B79" s="24"/>
      <c r="C79" s="24"/>
      <c r="D79" s="25"/>
      <c r="E79" s="26"/>
      <c r="F79" s="27"/>
      <c r="G79" s="26"/>
      <c r="H79" s="28"/>
      <c r="J79" s="2"/>
    </row>
    <row r="80" spans="1:10" ht="15.75" x14ac:dyDescent="0.2">
      <c r="A80" s="29"/>
      <c r="B80" s="29"/>
      <c r="C80" s="24"/>
      <c r="D80" s="210"/>
      <c r="E80" s="210"/>
      <c r="F80" s="210"/>
      <c r="G80" s="210"/>
      <c r="H80" s="210"/>
    </row>
    <row r="81" spans="1:10" ht="15" x14ac:dyDescent="0.2">
      <c r="A81" s="10"/>
      <c r="B81" s="12"/>
      <c r="C81" s="12"/>
      <c r="D81" s="31"/>
      <c r="E81" s="16"/>
      <c r="F81" s="19"/>
      <c r="G81" s="16"/>
      <c r="H81" s="6"/>
      <c r="J81" s="2"/>
    </row>
    <row r="82" spans="1:10" ht="15" x14ac:dyDescent="0.2">
      <c r="A82" s="10"/>
      <c r="B82" s="12"/>
      <c r="C82" s="12"/>
      <c r="D82" s="31"/>
      <c r="E82" s="16"/>
      <c r="F82" s="19"/>
      <c r="G82" s="16"/>
      <c r="H82" s="6"/>
      <c r="J82" s="2"/>
    </row>
    <row r="83" spans="1:10" ht="15" x14ac:dyDescent="0.2">
      <c r="A83" s="10"/>
      <c r="B83" s="12"/>
      <c r="C83" s="12"/>
      <c r="D83" s="31"/>
      <c r="E83" s="16"/>
      <c r="F83" s="19"/>
      <c r="G83" s="16"/>
      <c r="H83" s="6"/>
      <c r="J83" s="2"/>
    </row>
    <row r="84" spans="1:10" ht="15" x14ac:dyDescent="0.2">
      <c r="A84" s="10"/>
      <c r="B84" s="12"/>
      <c r="C84" s="12"/>
      <c r="D84" s="31"/>
      <c r="E84" s="16"/>
      <c r="F84" s="19"/>
      <c r="G84" s="16"/>
      <c r="H84" s="6"/>
      <c r="J84" s="2"/>
    </row>
    <row r="85" spans="1:10" ht="15" x14ac:dyDescent="0.2">
      <c r="A85" s="10"/>
      <c r="B85" s="12"/>
      <c r="C85" s="12"/>
      <c r="D85" s="31"/>
      <c r="E85" s="16"/>
      <c r="F85" s="19"/>
      <c r="G85" s="16"/>
      <c r="H85" s="6"/>
      <c r="J85" s="2"/>
    </row>
    <row r="86" spans="1:10" ht="15.75" x14ac:dyDescent="0.2">
      <c r="A86" s="9"/>
      <c r="B86" s="9"/>
      <c r="C86" s="9"/>
      <c r="D86" s="17"/>
      <c r="E86" s="18"/>
      <c r="F86" s="18"/>
      <c r="G86" s="18"/>
      <c r="H86" s="20"/>
      <c r="J86" s="2"/>
    </row>
    <row r="87" spans="1:10" ht="15.75" x14ac:dyDescent="0.2">
      <c r="A87" s="8"/>
      <c r="B87" s="8"/>
      <c r="C87" s="9"/>
      <c r="D87" s="207"/>
      <c r="E87" s="207"/>
      <c r="F87" s="207"/>
      <c r="G87" s="207"/>
      <c r="H87" s="207"/>
    </row>
    <row r="88" spans="1:10" ht="15.75" x14ac:dyDescent="0.2">
      <c r="A88" s="8"/>
      <c r="B88" s="8"/>
      <c r="C88" s="9"/>
      <c r="D88" s="8"/>
      <c r="E88" s="16"/>
      <c r="F88" s="19"/>
      <c r="G88" s="16"/>
      <c r="H88" s="32"/>
    </row>
    <row r="89" spans="1:10" ht="15" x14ac:dyDescent="0.2">
      <c r="A89" s="10"/>
      <c r="B89" s="12"/>
      <c r="C89" s="19"/>
      <c r="D89" s="31"/>
      <c r="E89" s="16"/>
      <c r="F89" s="19"/>
      <c r="G89" s="16"/>
      <c r="H89" s="32"/>
    </row>
    <row r="90" spans="1:10" ht="15" x14ac:dyDescent="0.2">
      <c r="A90" s="10"/>
      <c r="B90" s="10"/>
      <c r="C90" s="12"/>
      <c r="D90" s="21"/>
      <c r="E90" s="16"/>
      <c r="F90" s="19"/>
      <c r="G90" s="16"/>
      <c r="H90" s="32"/>
    </row>
    <row r="91" spans="1:10" ht="15.75" x14ac:dyDescent="0.2">
      <c r="A91" s="8"/>
      <c r="B91" s="8"/>
      <c r="C91" s="12"/>
      <c r="D91" s="8"/>
      <c r="E91" s="16"/>
      <c r="F91" s="19"/>
      <c r="G91" s="16"/>
      <c r="H91" s="32"/>
    </row>
    <row r="92" spans="1:10" ht="15" x14ac:dyDescent="0.2">
      <c r="A92" s="10"/>
      <c r="B92" s="12"/>
      <c r="C92" s="12"/>
      <c r="D92" s="31"/>
      <c r="E92" s="16"/>
      <c r="F92" s="19"/>
      <c r="G92" s="16"/>
      <c r="H92" s="32"/>
    </row>
    <row r="93" spans="1:10" ht="15.75" x14ac:dyDescent="0.2">
      <c r="A93" s="9"/>
      <c r="B93" s="9"/>
      <c r="C93" s="9"/>
      <c r="D93" s="17"/>
      <c r="E93" s="18"/>
      <c r="F93" s="19"/>
      <c r="G93" s="18"/>
      <c r="H93" s="20"/>
      <c r="J93" s="2"/>
    </row>
    <row r="94" spans="1:10" ht="15.75" x14ac:dyDescent="0.2">
      <c r="A94" s="8"/>
      <c r="B94" s="8"/>
      <c r="C94" s="9"/>
      <c r="D94" s="207"/>
      <c r="E94" s="207"/>
      <c r="F94" s="207"/>
      <c r="G94" s="207"/>
      <c r="H94" s="207"/>
    </row>
    <row r="95" spans="1:10" ht="15.75" x14ac:dyDescent="0.2">
      <c r="A95" s="8"/>
      <c r="B95" s="8"/>
      <c r="C95" s="9"/>
      <c r="D95" s="33"/>
      <c r="E95" s="16"/>
      <c r="F95" s="19"/>
      <c r="G95" s="16"/>
      <c r="H95" s="32"/>
    </row>
    <row r="96" spans="1:10" ht="15" x14ac:dyDescent="0.2">
      <c r="A96" s="10"/>
      <c r="B96" s="12"/>
      <c r="C96" s="12"/>
      <c r="D96" s="31"/>
      <c r="E96" s="16"/>
      <c r="F96" s="19"/>
      <c r="G96" s="16"/>
      <c r="H96" s="32"/>
    </row>
    <row r="97" spans="1:10" ht="15" x14ac:dyDescent="0.2">
      <c r="A97" s="10"/>
      <c r="B97" s="12"/>
      <c r="C97" s="12"/>
      <c r="D97" s="31"/>
      <c r="E97" s="16"/>
      <c r="F97" s="19"/>
      <c r="G97" s="16"/>
      <c r="H97" s="32"/>
      <c r="J97" s="2"/>
    </row>
    <row r="98" spans="1:10" ht="15" x14ac:dyDescent="0.2">
      <c r="A98" s="10"/>
      <c r="B98" s="10"/>
      <c r="C98" s="12"/>
      <c r="D98" s="33"/>
      <c r="E98" s="16"/>
      <c r="F98" s="19"/>
      <c r="G98" s="16"/>
      <c r="H98" s="32"/>
      <c r="J98" s="2"/>
    </row>
    <row r="99" spans="1:10" ht="15" x14ac:dyDescent="0.2">
      <c r="A99" s="10"/>
      <c r="B99" s="12"/>
      <c r="C99" s="12"/>
      <c r="D99" s="31"/>
      <c r="E99" s="16"/>
      <c r="F99" s="19"/>
      <c r="G99" s="16"/>
      <c r="H99" s="32"/>
      <c r="J99" s="2"/>
    </row>
    <row r="100" spans="1:10" ht="15" x14ac:dyDescent="0.2">
      <c r="A100" s="10"/>
      <c r="B100" s="10"/>
      <c r="C100" s="12"/>
      <c r="D100" s="33"/>
      <c r="E100" s="16"/>
      <c r="F100" s="19"/>
      <c r="G100" s="16"/>
      <c r="H100" s="32"/>
      <c r="J100" s="2"/>
    </row>
    <row r="101" spans="1:10" ht="15" x14ac:dyDescent="0.2">
      <c r="A101" s="10"/>
      <c r="B101" s="12"/>
      <c r="C101" s="12"/>
      <c r="D101" s="21"/>
      <c r="E101" s="16"/>
      <c r="F101" s="19"/>
      <c r="G101" s="16"/>
      <c r="H101" s="32"/>
      <c r="J101" s="2"/>
    </row>
    <row r="102" spans="1:10" ht="15" x14ac:dyDescent="0.2">
      <c r="A102" s="10"/>
      <c r="B102" s="10"/>
      <c r="C102" s="12"/>
      <c r="D102" s="31"/>
      <c r="E102" s="16"/>
      <c r="F102" s="19"/>
      <c r="G102" s="16"/>
      <c r="H102" s="32"/>
      <c r="J102" s="2"/>
    </row>
    <row r="103" spans="1:10" ht="15.75" x14ac:dyDescent="0.2">
      <c r="A103" s="10"/>
      <c r="B103" s="12"/>
      <c r="C103" s="12"/>
      <c r="D103" s="8"/>
      <c r="E103" s="16"/>
      <c r="F103" s="19"/>
      <c r="G103" s="16"/>
      <c r="H103" s="32"/>
    </row>
    <row r="104" spans="1:10" ht="15" x14ac:dyDescent="0.2">
      <c r="A104" s="10"/>
      <c r="B104" s="12"/>
      <c r="C104" s="12"/>
      <c r="D104" s="31"/>
      <c r="E104" s="16"/>
      <c r="F104" s="19"/>
      <c r="G104" s="16"/>
      <c r="H104" s="32"/>
    </row>
    <row r="105" spans="1:10" ht="15.75" x14ac:dyDescent="0.2">
      <c r="A105" s="8"/>
      <c r="B105" s="8"/>
      <c r="C105" s="9"/>
      <c r="D105" s="8"/>
      <c r="E105" s="16"/>
      <c r="F105" s="19"/>
      <c r="G105" s="16"/>
      <c r="H105" s="32"/>
    </row>
    <row r="106" spans="1:10" ht="15" x14ac:dyDescent="0.2">
      <c r="A106" s="10"/>
      <c r="B106" s="10"/>
      <c r="C106" s="12"/>
      <c r="D106" s="33"/>
      <c r="E106" s="16"/>
      <c r="F106" s="19"/>
      <c r="G106" s="16"/>
      <c r="H106" s="32"/>
    </row>
    <row r="107" spans="1:10" ht="15" x14ac:dyDescent="0.2">
      <c r="A107" s="10"/>
      <c r="B107" s="12"/>
      <c r="C107" s="12"/>
      <c r="D107" s="21"/>
      <c r="E107" s="16"/>
      <c r="F107" s="19"/>
      <c r="G107" s="16"/>
      <c r="H107" s="32"/>
      <c r="J107" s="2"/>
    </row>
    <row r="108" spans="1:10" ht="15" x14ac:dyDescent="0.2">
      <c r="A108" s="10"/>
      <c r="B108" s="12"/>
      <c r="C108" s="12"/>
      <c r="D108" s="31"/>
      <c r="E108" s="16"/>
      <c r="F108" s="19"/>
      <c r="G108" s="16"/>
      <c r="H108" s="32"/>
      <c r="J108" s="2"/>
    </row>
    <row r="109" spans="1:10" ht="15" x14ac:dyDescent="0.2">
      <c r="A109" s="10"/>
      <c r="B109" s="12"/>
      <c r="C109" s="12"/>
      <c r="D109" s="21"/>
      <c r="E109" s="16"/>
      <c r="F109" s="19"/>
      <c r="G109" s="16"/>
      <c r="H109" s="32"/>
    </row>
    <row r="110" spans="1:10" ht="15" x14ac:dyDescent="0.2">
      <c r="A110" s="10"/>
      <c r="B110" s="12"/>
      <c r="C110" s="12"/>
      <c r="D110" s="31"/>
      <c r="E110" s="16"/>
      <c r="F110" s="19"/>
      <c r="G110" s="16"/>
      <c r="H110" s="32"/>
    </row>
    <row r="111" spans="1:10" ht="15" x14ac:dyDescent="0.2">
      <c r="A111" s="10"/>
      <c r="B111" s="12"/>
      <c r="C111" s="12"/>
      <c r="D111" s="31"/>
      <c r="E111" s="16"/>
      <c r="F111" s="19"/>
      <c r="G111" s="16"/>
      <c r="H111" s="32"/>
    </row>
    <row r="112" spans="1:10" ht="15" x14ac:dyDescent="0.2">
      <c r="A112" s="10"/>
      <c r="B112" s="10"/>
      <c r="C112" s="12"/>
      <c r="D112" s="31"/>
      <c r="E112" s="16"/>
      <c r="F112" s="19"/>
      <c r="G112" s="16"/>
      <c r="H112" s="32"/>
    </row>
    <row r="113" spans="1:10" ht="15" x14ac:dyDescent="0.2">
      <c r="A113" s="12"/>
      <c r="B113" s="12"/>
      <c r="C113" s="12"/>
      <c r="D113" s="33"/>
      <c r="E113" s="16"/>
      <c r="F113" s="19"/>
      <c r="G113" s="16"/>
      <c r="H113" s="32"/>
    </row>
    <row r="114" spans="1:10" ht="15" x14ac:dyDescent="0.2">
      <c r="A114" s="12"/>
      <c r="B114" s="12"/>
      <c r="C114" s="12"/>
      <c r="D114" s="21"/>
      <c r="E114" s="16"/>
      <c r="F114" s="19"/>
      <c r="G114" s="16"/>
      <c r="H114" s="32"/>
    </row>
    <row r="115" spans="1:10" ht="15" x14ac:dyDescent="0.2">
      <c r="A115" s="12"/>
      <c r="B115" s="12"/>
      <c r="C115" s="12"/>
      <c r="D115" s="33"/>
      <c r="E115" s="16"/>
      <c r="F115" s="19"/>
      <c r="G115" s="16"/>
      <c r="H115" s="32"/>
    </row>
    <row r="116" spans="1:10" ht="15" x14ac:dyDescent="0.2">
      <c r="A116" s="10"/>
      <c r="B116" s="12"/>
      <c r="C116" s="12"/>
      <c r="D116" s="21"/>
      <c r="E116" s="16"/>
      <c r="F116" s="19"/>
      <c r="G116" s="16"/>
      <c r="H116" s="32"/>
      <c r="J116" s="2"/>
    </row>
    <row r="117" spans="1:10" ht="15" x14ac:dyDescent="0.2">
      <c r="A117" s="10"/>
      <c r="B117" s="12"/>
      <c r="C117" s="12"/>
      <c r="D117" s="31"/>
      <c r="E117" s="16"/>
      <c r="F117" s="19"/>
      <c r="G117" s="16"/>
      <c r="H117" s="32"/>
      <c r="J117" s="2"/>
    </row>
    <row r="118" spans="1:10" ht="15" x14ac:dyDescent="0.2">
      <c r="A118" s="10"/>
      <c r="B118" s="12"/>
      <c r="C118" s="12"/>
      <c r="D118" s="21"/>
      <c r="E118" s="16"/>
      <c r="F118" s="19"/>
      <c r="G118" s="16"/>
      <c r="H118" s="32"/>
    </row>
    <row r="119" spans="1:10" ht="15" x14ac:dyDescent="0.2">
      <c r="A119" s="10"/>
      <c r="B119" s="12"/>
      <c r="C119" s="12"/>
      <c r="D119" s="33"/>
      <c r="E119" s="16"/>
      <c r="F119" s="19"/>
      <c r="G119" s="16"/>
      <c r="H119" s="32"/>
    </row>
    <row r="120" spans="1:10" ht="15" x14ac:dyDescent="0.2">
      <c r="A120" s="12"/>
      <c r="B120" s="12"/>
      <c r="C120" s="12"/>
      <c r="D120" s="21"/>
      <c r="E120" s="16"/>
      <c r="F120" s="19"/>
      <c r="G120" s="16"/>
      <c r="H120" s="32"/>
    </row>
    <row r="121" spans="1:10" ht="15" x14ac:dyDescent="0.2">
      <c r="A121" s="12"/>
      <c r="B121" s="12"/>
      <c r="C121" s="12"/>
      <c r="D121" s="21"/>
      <c r="E121" s="16"/>
      <c r="F121" s="19"/>
      <c r="G121" s="16"/>
      <c r="H121" s="32"/>
    </row>
    <row r="122" spans="1:10" ht="15" x14ac:dyDescent="0.2">
      <c r="A122" s="12"/>
      <c r="B122" s="12"/>
      <c r="C122" s="12"/>
      <c r="D122" s="21"/>
      <c r="E122" s="16"/>
      <c r="F122" s="19"/>
      <c r="G122" s="16"/>
      <c r="H122" s="32"/>
      <c r="I122" s="2"/>
    </row>
    <row r="123" spans="1:10" ht="15.75" x14ac:dyDescent="0.2">
      <c r="A123" s="9"/>
      <c r="B123" s="9"/>
      <c r="C123" s="9"/>
      <c r="D123" s="17"/>
      <c r="E123" s="18"/>
      <c r="F123" s="19"/>
      <c r="G123" s="18"/>
      <c r="H123" s="20"/>
    </row>
    <row r="124" spans="1:10" ht="15.75" x14ac:dyDescent="0.2">
      <c r="A124" s="8"/>
      <c r="B124" s="8"/>
      <c r="C124" s="9"/>
      <c r="D124" s="34"/>
      <c r="E124" s="34"/>
      <c r="F124" s="34"/>
      <c r="G124" s="34"/>
      <c r="H124" s="34"/>
    </row>
    <row r="125" spans="1:10" ht="15" x14ac:dyDescent="0.2">
      <c r="A125" s="10"/>
      <c r="B125" s="10"/>
      <c r="C125" s="12"/>
      <c r="D125" s="33"/>
      <c r="E125" s="16"/>
      <c r="F125" s="19"/>
      <c r="G125" s="16"/>
      <c r="H125" s="32"/>
    </row>
    <row r="126" spans="1:10" ht="15" x14ac:dyDescent="0.2">
      <c r="A126" s="10"/>
      <c r="B126" s="12"/>
      <c r="C126" s="12"/>
      <c r="D126" s="31"/>
      <c r="E126" s="16"/>
      <c r="F126" s="19"/>
      <c r="G126" s="16"/>
      <c r="H126" s="32"/>
    </row>
    <row r="127" spans="1:10" ht="15" x14ac:dyDescent="0.2">
      <c r="A127" s="10"/>
      <c r="B127" s="10"/>
      <c r="C127" s="12"/>
      <c r="D127" s="33"/>
      <c r="E127" s="16"/>
      <c r="F127" s="19"/>
      <c r="G127" s="16"/>
      <c r="H127" s="32"/>
    </row>
    <row r="128" spans="1:10" ht="15" x14ac:dyDescent="0.2">
      <c r="A128" s="10"/>
      <c r="B128" s="12"/>
      <c r="C128" s="12"/>
      <c r="D128" s="31"/>
      <c r="E128" s="16"/>
      <c r="F128" s="19"/>
      <c r="G128" s="16"/>
      <c r="H128" s="32"/>
    </row>
    <row r="129" spans="1:8" ht="15" x14ac:dyDescent="0.2">
      <c r="A129" s="10"/>
      <c r="B129" s="10"/>
      <c r="C129" s="12"/>
      <c r="D129" s="33"/>
      <c r="E129" s="16"/>
      <c r="F129" s="19"/>
      <c r="G129" s="16"/>
      <c r="H129" s="32"/>
    </row>
    <row r="130" spans="1:8" ht="15" x14ac:dyDescent="0.2">
      <c r="A130" s="10"/>
      <c r="B130" s="10"/>
      <c r="C130" s="12"/>
      <c r="D130" s="31"/>
      <c r="E130" s="16"/>
      <c r="F130" s="19"/>
      <c r="G130" s="16"/>
      <c r="H130" s="32"/>
    </row>
    <row r="131" spans="1:8" ht="15" x14ac:dyDescent="0.2">
      <c r="A131" s="10"/>
      <c r="B131" s="10"/>
      <c r="C131" s="12"/>
      <c r="D131" s="31"/>
      <c r="E131" s="16"/>
      <c r="F131" s="19"/>
      <c r="G131" s="16"/>
      <c r="H131" s="32"/>
    </row>
    <row r="132" spans="1:8" ht="15" x14ac:dyDescent="0.2">
      <c r="A132" s="10"/>
      <c r="B132" s="10"/>
      <c r="C132" s="12"/>
      <c r="D132" s="31"/>
      <c r="E132" s="16"/>
      <c r="F132" s="19"/>
      <c r="G132" s="16"/>
      <c r="H132" s="32"/>
    </row>
    <row r="133" spans="1:8" ht="15.75" x14ac:dyDescent="0.2">
      <c r="A133" s="9"/>
      <c r="B133" s="9"/>
      <c r="C133" s="9"/>
      <c r="D133" s="17"/>
      <c r="E133" s="18"/>
      <c r="F133" s="19"/>
      <c r="G133" s="18"/>
      <c r="H133" s="20"/>
    </row>
    <row r="134" spans="1:8" ht="15.75" x14ac:dyDescent="0.2">
      <c r="A134" s="8"/>
      <c r="B134" s="8"/>
      <c r="C134" s="9"/>
      <c r="D134" s="34"/>
      <c r="E134" s="34"/>
      <c r="F134" s="34"/>
      <c r="G134" s="34"/>
      <c r="H134" s="34"/>
    </row>
    <row r="135" spans="1:8" ht="15" x14ac:dyDescent="0.2">
      <c r="A135" s="10"/>
      <c r="B135" s="10"/>
      <c r="C135" s="19"/>
      <c r="D135" s="33"/>
      <c r="E135" s="16"/>
      <c r="F135" s="19"/>
      <c r="G135" s="16"/>
      <c r="H135" s="32"/>
    </row>
    <row r="136" spans="1:8" ht="15" x14ac:dyDescent="0.2">
      <c r="A136" s="10"/>
      <c r="B136" s="12"/>
      <c r="C136" s="12"/>
      <c r="D136" s="21"/>
      <c r="E136" s="16"/>
      <c r="F136" s="19"/>
      <c r="G136" s="16"/>
      <c r="H136" s="32"/>
    </row>
    <row r="137" spans="1:8" ht="15" x14ac:dyDescent="0.2">
      <c r="A137" s="10"/>
      <c r="B137" s="12"/>
      <c r="C137" s="12"/>
      <c r="D137" s="21"/>
      <c r="E137" s="16"/>
      <c r="F137" s="19"/>
      <c r="G137" s="16"/>
      <c r="H137" s="32"/>
    </row>
    <row r="138" spans="1:8" ht="15" x14ac:dyDescent="0.2">
      <c r="A138" s="10"/>
      <c r="B138" s="12"/>
      <c r="C138" s="12"/>
      <c r="D138" s="21"/>
      <c r="E138" s="16"/>
      <c r="F138" s="19"/>
      <c r="G138" s="16"/>
      <c r="H138" s="32"/>
    </row>
    <row r="139" spans="1:8" ht="15" x14ac:dyDescent="0.2">
      <c r="A139" s="10"/>
      <c r="B139" s="10"/>
      <c r="C139" s="19"/>
      <c r="D139" s="31"/>
      <c r="E139" s="16"/>
      <c r="F139" s="19"/>
      <c r="G139" s="16"/>
      <c r="H139" s="32"/>
    </row>
    <row r="140" spans="1:8" ht="15" x14ac:dyDescent="0.2">
      <c r="A140" s="10"/>
      <c r="B140" s="10"/>
      <c r="C140" s="19"/>
      <c r="D140" s="31"/>
      <c r="E140" s="16"/>
      <c r="F140" s="19"/>
      <c r="G140" s="16"/>
      <c r="H140" s="32"/>
    </row>
    <row r="141" spans="1:8" ht="15" x14ac:dyDescent="0.2">
      <c r="A141" s="10"/>
      <c r="B141" s="10"/>
      <c r="C141" s="19"/>
      <c r="D141" s="21"/>
      <c r="E141" s="16"/>
      <c r="F141" s="19"/>
      <c r="G141" s="16"/>
      <c r="H141" s="32"/>
    </row>
    <row r="142" spans="1:8" ht="15" x14ac:dyDescent="0.2">
      <c r="A142" s="10"/>
      <c r="B142" s="10"/>
      <c r="C142" s="19"/>
      <c r="D142" s="21"/>
      <c r="E142" s="16"/>
      <c r="F142" s="19"/>
      <c r="G142" s="16"/>
      <c r="H142" s="32"/>
    </row>
    <row r="143" spans="1:8" ht="15" x14ac:dyDescent="0.2">
      <c r="A143" s="10"/>
      <c r="B143" s="10"/>
      <c r="C143" s="19"/>
      <c r="D143" s="33"/>
      <c r="E143" s="16"/>
      <c r="F143" s="19"/>
      <c r="G143" s="16"/>
      <c r="H143" s="32"/>
    </row>
    <row r="144" spans="1:8" ht="15" x14ac:dyDescent="0.2">
      <c r="A144" s="10"/>
      <c r="B144" s="10"/>
      <c r="C144" s="19"/>
      <c r="D144" s="21"/>
      <c r="E144" s="16"/>
      <c r="F144" s="19"/>
      <c r="G144" s="16"/>
      <c r="H144" s="32"/>
    </row>
    <row r="145" spans="1:8" ht="15" x14ac:dyDescent="0.2">
      <c r="A145" s="10"/>
      <c r="B145" s="10"/>
      <c r="C145" s="19"/>
      <c r="D145" s="21"/>
      <c r="E145" s="16"/>
      <c r="F145" s="19"/>
      <c r="G145" s="16"/>
      <c r="H145" s="32"/>
    </row>
    <row r="146" spans="1:8" ht="15" x14ac:dyDescent="0.2">
      <c r="A146" s="10"/>
      <c r="B146" s="10"/>
      <c r="C146" s="19"/>
      <c r="D146" s="33"/>
      <c r="E146" s="16"/>
      <c r="F146" s="19"/>
      <c r="G146" s="16"/>
      <c r="H146" s="32"/>
    </row>
    <row r="147" spans="1:8" ht="15" x14ac:dyDescent="0.2">
      <c r="A147" s="10"/>
      <c r="B147" s="10"/>
      <c r="C147" s="19"/>
      <c r="D147" s="21"/>
      <c r="E147" s="16"/>
      <c r="F147" s="19"/>
      <c r="G147" s="16"/>
      <c r="H147" s="32"/>
    </row>
    <row r="148" spans="1:8" ht="15" x14ac:dyDescent="0.2">
      <c r="A148" s="10"/>
      <c r="B148" s="10"/>
      <c r="C148" s="19"/>
      <c r="D148" s="21"/>
      <c r="E148" s="16"/>
      <c r="F148" s="19"/>
      <c r="G148" s="16"/>
      <c r="H148" s="32"/>
    </row>
    <row r="149" spans="1:8" ht="15" x14ac:dyDescent="0.2">
      <c r="A149" s="10"/>
      <c r="B149" s="10"/>
      <c r="C149" s="19"/>
      <c r="D149" s="21"/>
      <c r="E149" s="16"/>
      <c r="F149" s="19"/>
      <c r="G149" s="16"/>
      <c r="H149" s="32"/>
    </row>
    <row r="150" spans="1:8" ht="15" x14ac:dyDescent="0.2">
      <c r="A150" s="10"/>
      <c r="B150" s="10"/>
      <c r="C150" s="19"/>
      <c r="D150" s="21"/>
      <c r="E150" s="16"/>
      <c r="F150" s="19"/>
      <c r="G150" s="16"/>
      <c r="H150" s="32"/>
    </row>
    <row r="151" spans="1:8" ht="15" x14ac:dyDescent="0.2">
      <c r="A151" s="10"/>
      <c r="B151" s="10"/>
      <c r="C151" s="19"/>
      <c r="D151" s="21"/>
      <c r="E151" s="16"/>
      <c r="F151" s="19"/>
      <c r="G151" s="16"/>
      <c r="H151" s="32"/>
    </row>
    <row r="152" spans="1:8" ht="15" x14ac:dyDescent="0.2">
      <c r="A152" s="10"/>
      <c r="B152" s="10"/>
      <c r="C152" s="19"/>
      <c r="D152" s="21"/>
      <c r="E152" s="16"/>
      <c r="F152" s="19"/>
      <c r="G152" s="16"/>
      <c r="H152" s="32"/>
    </row>
    <row r="153" spans="1:8" ht="15" x14ac:dyDescent="0.2">
      <c r="A153" s="10"/>
      <c r="B153" s="10"/>
      <c r="C153" s="19"/>
      <c r="D153" s="33"/>
      <c r="E153" s="16"/>
      <c r="F153" s="19"/>
      <c r="G153" s="16"/>
      <c r="H153" s="32"/>
    </row>
    <row r="154" spans="1:8" ht="15" x14ac:dyDescent="0.2">
      <c r="A154" s="10"/>
      <c r="B154" s="10"/>
      <c r="C154" s="19"/>
      <c r="D154" s="21"/>
      <c r="E154" s="16"/>
      <c r="F154" s="19"/>
      <c r="G154" s="16"/>
      <c r="H154" s="32"/>
    </row>
    <row r="155" spans="1:8" ht="15" x14ac:dyDescent="0.2">
      <c r="A155" s="10"/>
      <c r="B155" s="10"/>
      <c r="C155" s="19"/>
      <c r="D155" s="21"/>
      <c r="E155" s="16"/>
      <c r="F155" s="19"/>
      <c r="G155" s="16"/>
      <c r="H155" s="32"/>
    </row>
    <row r="156" spans="1:8" ht="15" x14ac:dyDescent="0.2">
      <c r="A156" s="10"/>
      <c r="B156" s="10"/>
      <c r="C156" s="19"/>
      <c r="D156" s="21"/>
      <c r="E156" s="16"/>
      <c r="F156" s="19"/>
      <c r="G156" s="16"/>
      <c r="H156" s="32"/>
    </row>
    <row r="157" spans="1:8" ht="15.75" x14ac:dyDescent="0.2">
      <c r="A157" s="9"/>
      <c r="B157" s="9"/>
      <c r="C157" s="9"/>
      <c r="D157" s="17"/>
      <c r="E157" s="18"/>
      <c r="F157" s="19"/>
      <c r="G157" s="18"/>
      <c r="H157" s="20"/>
    </row>
    <row r="158" spans="1:8" ht="15.75" x14ac:dyDescent="0.2">
      <c r="A158" s="8"/>
      <c r="B158" s="8"/>
      <c r="C158" s="9"/>
      <c r="D158" s="207"/>
      <c r="E158" s="207"/>
      <c r="F158" s="207"/>
      <c r="G158" s="207"/>
      <c r="H158" s="207"/>
    </row>
    <row r="159" spans="1:8" ht="15" x14ac:dyDescent="0.2">
      <c r="A159" s="10"/>
      <c r="B159" s="10"/>
      <c r="C159" s="19"/>
      <c r="D159" s="33"/>
      <c r="E159" s="16"/>
      <c r="F159" s="19"/>
      <c r="G159" s="16"/>
      <c r="H159" s="32"/>
    </row>
    <row r="160" spans="1:8" ht="15" x14ac:dyDescent="0.2">
      <c r="A160" s="10"/>
      <c r="B160" s="12"/>
      <c r="C160" s="12"/>
      <c r="D160" s="21"/>
      <c r="E160" s="16"/>
      <c r="F160" s="19"/>
      <c r="G160" s="16"/>
      <c r="H160" s="32"/>
    </row>
    <row r="161" spans="1:8" ht="15" x14ac:dyDescent="0.2">
      <c r="A161" s="10"/>
      <c r="B161" s="12"/>
      <c r="C161" s="12"/>
      <c r="D161" s="21"/>
      <c r="E161" s="16"/>
      <c r="F161" s="19"/>
      <c r="G161" s="16"/>
      <c r="H161" s="32"/>
    </row>
    <row r="162" spans="1:8" ht="15" x14ac:dyDescent="0.2">
      <c r="A162" s="10"/>
      <c r="B162" s="12"/>
      <c r="C162" s="12"/>
      <c r="D162" s="21"/>
      <c r="E162" s="16"/>
      <c r="F162" s="19"/>
      <c r="G162" s="16"/>
      <c r="H162" s="32"/>
    </row>
    <row r="163" spans="1:8" ht="15" x14ac:dyDescent="0.2">
      <c r="A163" s="10"/>
      <c r="B163" s="12"/>
      <c r="C163" s="12"/>
      <c r="D163" s="21"/>
      <c r="E163" s="16"/>
      <c r="F163" s="19"/>
      <c r="G163" s="16"/>
      <c r="H163" s="32"/>
    </row>
    <row r="164" spans="1:8" ht="15" x14ac:dyDescent="0.2">
      <c r="A164" s="10"/>
      <c r="B164" s="12"/>
      <c r="C164" s="12"/>
      <c r="D164" s="21"/>
      <c r="E164" s="16"/>
      <c r="F164" s="19"/>
      <c r="G164" s="16"/>
      <c r="H164" s="32"/>
    </row>
    <row r="165" spans="1:8" ht="15" x14ac:dyDescent="0.2">
      <c r="A165" s="10"/>
      <c r="B165" s="12"/>
      <c r="C165" s="12"/>
      <c r="D165" s="21"/>
      <c r="E165" s="16"/>
      <c r="F165" s="19"/>
      <c r="G165" s="16"/>
      <c r="H165" s="32"/>
    </row>
    <row r="166" spans="1:8" ht="15" x14ac:dyDescent="0.2">
      <c r="A166" s="10"/>
      <c r="B166" s="10"/>
      <c r="C166" s="12"/>
      <c r="D166" s="33"/>
      <c r="E166" s="16"/>
      <c r="F166" s="19"/>
      <c r="G166" s="16"/>
      <c r="H166" s="32"/>
    </row>
    <row r="167" spans="1:8" ht="15" x14ac:dyDescent="0.2">
      <c r="A167" s="10"/>
      <c r="B167" s="12"/>
      <c r="C167" s="12"/>
      <c r="D167" s="21"/>
      <c r="E167" s="16"/>
      <c r="F167" s="19"/>
      <c r="G167" s="16"/>
      <c r="H167" s="32"/>
    </row>
    <row r="168" spans="1:8" ht="15" x14ac:dyDescent="0.2">
      <c r="A168" s="10"/>
      <c r="B168" s="12"/>
      <c r="C168" s="12"/>
      <c r="D168" s="21"/>
      <c r="E168" s="16"/>
      <c r="F168" s="19"/>
      <c r="G168" s="16"/>
      <c r="H168" s="32"/>
    </row>
    <row r="169" spans="1:8" ht="15" x14ac:dyDescent="0.2">
      <c r="A169" s="10"/>
      <c r="B169" s="12"/>
      <c r="C169" s="12"/>
      <c r="D169" s="21"/>
      <c r="E169" s="16"/>
      <c r="F169" s="19"/>
      <c r="G169" s="16"/>
      <c r="H169" s="32"/>
    </row>
    <row r="170" spans="1:8" ht="15" x14ac:dyDescent="0.2">
      <c r="A170" s="10"/>
      <c r="B170" s="10"/>
      <c r="C170" s="12"/>
      <c r="D170" s="21"/>
      <c r="E170" s="16"/>
      <c r="F170" s="19"/>
      <c r="G170" s="16"/>
      <c r="H170" s="32"/>
    </row>
    <row r="171" spans="1:8" ht="15" x14ac:dyDescent="0.2">
      <c r="A171" s="10"/>
      <c r="B171" s="10"/>
      <c r="C171" s="12"/>
      <c r="D171" s="21"/>
      <c r="E171" s="16"/>
      <c r="F171" s="19"/>
      <c r="G171" s="16"/>
      <c r="H171" s="32"/>
    </row>
    <row r="172" spans="1:8" ht="15" x14ac:dyDescent="0.2">
      <c r="A172" s="10"/>
      <c r="B172" s="10"/>
      <c r="C172" s="12"/>
      <c r="D172" s="31"/>
      <c r="E172" s="16"/>
      <c r="F172" s="19"/>
      <c r="G172" s="16"/>
      <c r="H172" s="32"/>
    </row>
    <row r="173" spans="1:8" ht="15" x14ac:dyDescent="0.2">
      <c r="A173" s="10"/>
      <c r="B173" s="10"/>
      <c r="C173" s="12"/>
      <c r="D173" s="21"/>
      <c r="E173" s="16"/>
      <c r="F173" s="19"/>
      <c r="G173" s="16"/>
      <c r="H173" s="32"/>
    </row>
    <row r="174" spans="1:8" ht="15" x14ac:dyDescent="0.2">
      <c r="A174" s="10"/>
      <c r="B174" s="10"/>
      <c r="C174" s="19"/>
      <c r="D174" s="21"/>
      <c r="E174" s="16"/>
      <c r="F174" s="19"/>
      <c r="G174" s="16"/>
      <c r="H174" s="32"/>
    </row>
    <row r="175" spans="1:8" ht="15" x14ac:dyDescent="0.2">
      <c r="A175" s="10"/>
      <c r="B175" s="12"/>
      <c r="C175" s="19"/>
      <c r="D175" s="31"/>
      <c r="E175" s="16"/>
      <c r="F175" s="19"/>
      <c r="G175" s="16"/>
      <c r="H175" s="32"/>
    </row>
    <row r="176" spans="1:8" ht="15" x14ac:dyDescent="0.2">
      <c r="A176" s="10"/>
      <c r="B176" s="10"/>
      <c r="C176" s="19"/>
      <c r="D176" s="21"/>
      <c r="E176" s="16"/>
      <c r="F176" s="19"/>
      <c r="G176" s="16"/>
      <c r="H176" s="32"/>
    </row>
    <row r="177" spans="1:8" ht="15" x14ac:dyDescent="0.2">
      <c r="A177" s="10"/>
      <c r="B177" s="10"/>
      <c r="C177" s="19"/>
      <c r="D177" s="21"/>
      <c r="E177" s="16"/>
      <c r="F177" s="19"/>
      <c r="G177" s="16"/>
      <c r="H177" s="32"/>
    </row>
    <row r="178" spans="1:8" ht="15" x14ac:dyDescent="0.2">
      <c r="A178" s="10"/>
      <c r="B178" s="10"/>
      <c r="C178" s="19"/>
      <c r="D178" s="21"/>
      <c r="E178" s="16"/>
      <c r="F178" s="19"/>
      <c r="G178" s="16"/>
      <c r="H178" s="32"/>
    </row>
    <row r="179" spans="1:8" ht="15" x14ac:dyDescent="0.2">
      <c r="A179" s="10"/>
      <c r="B179" s="10"/>
      <c r="C179" s="19"/>
      <c r="D179" s="21"/>
      <c r="E179" s="16"/>
      <c r="F179" s="19"/>
      <c r="G179" s="16"/>
      <c r="H179" s="32"/>
    </row>
    <row r="180" spans="1:8" ht="15" x14ac:dyDescent="0.2">
      <c r="A180" s="10"/>
      <c r="B180" s="10"/>
      <c r="C180" s="19"/>
      <c r="D180" s="21"/>
      <c r="E180" s="16"/>
      <c r="F180" s="19"/>
      <c r="G180" s="16"/>
      <c r="H180" s="32"/>
    </row>
    <row r="181" spans="1:8" ht="15" x14ac:dyDescent="0.2">
      <c r="A181" s="10"/>
      <c r="B181" s="10"/>
      <c r="C181" s="19"/>
      <c r="D181" s="31"/>
      <c r="E181" s="16"/>
      <c r="F181" s="19"/>
      <c r="G181" s="16"/>
      <c r="H181" s="32"/>
    </row>
    <row r="182" spans="1:8" ht="15" x14ac:dyDescent="0.2">
      <c r="A182" s="10"/>
      <c r="B182" s="10"/>
      <c r="C182" s="19"/>
      <c r="D182" s="21"/>
      <c r="E182" s="16"/>
      <c r="F182" s="19"/>
      <c r="G182" s="16"/>
      <c r="H182" s="32"/>
    </row>
    <row r="183" spans="1:8" ht="15" x14ac:dyDescent="0.2">
      <c r="A183" s="10"/>
      <c r="B183" s="10"/>
      <c r="C183" s="19"/>
      <c r="D183" s="31"/>
      <c r="E183" s="16"/>
      <c r="F183" s="19"/>
      <c r="G183" s="16"/>
      <c r="H183" s="32"/>
    </row>
    <row r="184" spans="1:8" ht="15" x14ac:dyDescent="0.2">
      <c r="A184" s="10"/>
      <c r="B184" s="10"/>
      <c r="C184" s="19"/>
      <c r="D184" s="21"/>
      <c r="E184" s="16"/>
      <c r="F184" s="19"/>
      <c r="G184" s="16"/>
      <c r="H184" s="32"/>
    </row>
    <row r="185" spans="1:8" ht="15" x14ac:dyDescent="0.2">
      <c r="A185" s="10"/>
      <c r="B185" s="10"/>
      <c r="C185" s="19"/>
      <c r="D185" s="31"/>
      <c r="E185" s="16"/>
      <c r="F185" s="19"/>
      <c r="G185" s="16"/>
      <c r="H185" s="32"/>
    </row>
    <row r="186" spans="1:8" ht="15" x14ac:dyDescent="0.2">
      <c r="A186" s="10"/>
      <c r="B186" s="10"/>
      <c r="C186" s="19"/>
      <c r="D186" s="21"/>
      <c r="E186" s="16"/>
      <c r="F186" s="19"/>
      <c r="G186" s="16"/>
      <c r="H186" s="32"/>
    </row>
    <row r="187" spans="1:8" ht="15" x14ac:dyDescent="0.2">
      <c r="A187" s="10"/>
      <c r="B187" s="10"/>
      <c r="C187" s="19"/>
      <c r="D187" s="21"/>
      <c r="E187" s="16"/>
      <c r="F187" s="19"/>
      <c r="G187" s="16"/>
      <c r="H187" s="32"/>
    </row>
    <row r="188" spans="1:8" ht="15" x14ac:dyDescent="0.2">
      <c r="A188" s="10"/>
      <c r="B188" s="10"/>
      <c r="C188" s="19"/>
      <c r="D188" s="21"/>
      <c r="E188" s="16"/>
      <c r="F188" s="19"/>
      <c r="G188" s="16"/>
      <c r="H188" s="32"/>
    </row>
    <row r="189" spans="1:8" ht="15" x14ac:dyDescent="0.2">
      <c r="A189" s="10"/>
      <c r="B189" s="10"/>
      <c r="C189" s="19"/>
      <c r="D189" s="21"/>
      <c r="E189" s="16"/>
      <c r="F189" s="19"/>
      <c r="G189" s="16"/>
      <c r="H189" s="32"/>
    </row>
    <row r="190" spans="1:8" ht="15" x14ac:dyDescent="0.2">
      <c r="A190" s="10"/>
      <c r="B190" s="10"/>
      <c r="C190" s="12"/>
      <c r="D190" s="33"/>
      <c r="E190" s="16"/>
      <c r="F190" s="19"/>
      <c r="G190" s="16"/>
      <c r="H190" s="32"/>
    </row>
    <row r="191" spans="1:8" ht="15" x14ac:dyDescent="0.2">
      <c r="A191" s="10"/>
      <c r="B191" s="12"/>
      <c r="C191" s="12"/>
      <c r="D191" s="21"/>
      <c r="E191" s="16"/>
      <c r="F191" s="19"/>
      <c r="G191" s="16"/>
      <c r="H191" s="32"/>
    </row>
    <row r="192" spans="1:8" ht="15" x14ac:dyDescent="0.2">
      <c r="A192" s="10"/>
      <c r="B192" s="12"/>
      <c r="C192" s="12"/>
      <c r="D192" s="21"/>
      <c r="E192" s="16"/>
      <c r="F192" s="19"/>
      <c r="G192" s="16"/>
      <c r="H192" s="32"/>
    </row>
    <row r="193" spans="1:11" ht="15" x14ac:dyDescent="0.2">
      <c r="A193" s="10"/>
      <c r="B193" s="12"/>
      <c r="C193" s="12"/>
      <c r="D193" s="21"/>
      <c r="E193" s="16"/>
      <c r="F193" s="19"/>
      <c r="G193" s="16"/>
      <c r="H193" s="32"/>
    </row>
    <row r="194" spans="1:11" ht="15.75" x14ac:dyDescent="0.2">
      <c r="A194" s="9"/>
      <c r="B194" s="9"/>
      <c r="C194" s="9"/>
      <c r="D194" s="17"/>
      <c r="E194" s="18"/>
      <c r="F194" s="19"/>
      <c r="G194" s="18"/>
      <c r="H194" s="20"/>
    </row>
    <row r="195" spans="1:11" ht="15.75" x14ac:dyDescent="0.2">
      <c r="A195" s="8"/>
      <c r="B195" s="8"/>
      <c r="C195" s="9"/>
      <c r="D195" s="207"/>
      <c r="E195" s="207"/>
      <c r="F195" s="207"/>
      <c r="G195" s="207"/>
      <c r="H195" s="207"/>
    </row>
    <row r="196" spans="1:11" ht="15.75" x14ac:dyDescent="0.2">
      <c r="A196" s="8"/>
      <c r="B196" s="8"/>
      <c r="C196" s="12"/>
      <c r="D196" s="33"/>
      <c r="E196" s="16"/>
      <c r="F196" s="19"/>
      <c r="G196" s="16"/>
      <c r="H196" s="32"/>
    </row>
    <row r="197" spans="1:11" ht="15" x14ac:dyDescent="0.2">
      <c r="A197" s="10"/>
      <c r="B197" s="10"/>
      <c r="C197" s="12"/>
      <c r="D197" s="21"/>
      <c r="E197" s="16"/>
      <c r="F197" s="19"/>
      <c r="G197" s="16"/>
      <c r="H197" s="32"/>
    </row>
    <row r="198" spans="1:11" ht="15" x14ac:dyDescent="0.2">
      <c r="A198" s="10"/>
      <c r="B198" s="10"/>
      <c r="C198" s="12"/>
      <c r="D198" s="21"/>
      <c r="E198" s="16"/>
      <c r="F198" s="19"/>
      <c r="G198" s="16"/>
      <c r="H198" s="32"/>
    </row>
    <row r="199" spans="1:11" ht="15" x14ac:dyDescent="0.2">
      <c r="A199" s="10"/>
      <c r="B199" s="10"/>
      <c r="C199" s="12"/>
      <c r="D199" s="21"/>
      <c r="E199" s="16"/>
      <c r="F199" s="19"/>
      <c r="G199" s="16"/>
      <c r="H199" s="32"/>
    </row>
    <row r="200" spans="1:11" ht="15" x14ac:dyDescent="0.2">
      <c r="A200" s="10"/>
      <c r="B200" s="10"/>
      <c r="C200" s="12"/>
      <c r="D200" s="21"/>
      <c r="E200" s="16"/>
      <c r="F200" s="19"/>
      <c r="G200" s="16"/>
      <c r="H200" s="32"/>
    </row>
    <row r="201" spans="1:11" ht="15" x14ac:dyDescent="0.2">
      <c r="A201" s="10"/>
      <c r="B201" s="10"/>
      <c r="C201" s="12"/>
      <c r="D201" s="33"/>
      <c r="E201" s="16"/>
      <c r="F201" s="19"/>
      <c r="G201" s="16"/>
      <c r="H201" s="32"/>
    </row>
    <row r="202" spans="1:11" ht="15" x14ac:dyDescent="0.2">
      <c r="A202" s="10"/>
      <c r="B202" s="10"/>
      <c r="C202" s="12"/>
      <c r="D202" s="21"/>
      <c r="E202" s="16"/>
      <c r="F202" s="19"/>
      <c r="G202" s="16"/>
      <c r="H202" s="32"/>
      <c r="K202" s="2"/>
    </row>
    <row r="203" spans="1:11" ht="15" x14ac:dyDescent="0.2">
      <c r="A203" s="10"/>
      <c r="B203" s="10"/>
      <c r="C203" s="12"/>
      <c r="D203" s="21"/>
      <c r="E203" s="16"/>
      <c r="F203" s="19"/>
      <c r="G203" s="16"/>
      <c r="H203" s="32"/>
    </row>
    <row r="204" spans="1:11" ht="15" x14ac:dyDescent="0.2">
      <c r="A204" s="10"/>
      <c r="B204" s="10"/>
      <c r="C204" s="12"/>
      <c r="D204" s="33"/>
      <c r="E204" s="16"/>
      <c r="F204" s="19"/>
      <c r="G204" s="16"/>
      <c r="H204" s="32"/>
    </row>
    <row r="205" spans="1:11" ht="15" x14ac:dyDescent="0.2">
      <c r="A205" s="10"/>
      <c r="B205" s="10"/>
      <c r="C205" s="12"/>
      <c r="D205" s="21"/>
      <c r="E205" s="16"/>
      <c r="F205" s="19"/>
      <c r="G205" s="16"/>
      <c r="H205" s="32"/>
    </row>
    <row r="206" spans="1:11" ht="15" x14ac:dyDescent="0.2">
      <c r="A206" s="10"/>
      <c r="B206" s="10"/>
      <c r="C206" s="12"/>
      <c r="D206" s="21"/>
      <c r="E206" s="16"/>
      <c r="F206" s="19"/>
      <c r="G206" s="16"/>
      <c r="H206" s="32"/>
    </row>
    <row r="207" spans="1:11" ht="15" x14ac:dyDescent="0.2">
      <c r="A207" s="10"/>
      <c r="B207" s="10"/>
      <c r="C207" s="12"/>
      <c r="D207" s="21"/>
      <c r="E207" s="16"/>
      <c r="F207" s="19"/>
      <c r="G207" s="16"/>
      <c r="H207" s="32"/>
    </row>
    <row r="208" spans="1:11" ht="15" x14ac:dyDescent="0.2">
      <c r="A208" s="10"/>
      <c r="B208" s="10"/>
      <c r="C208" s="12"/>
      <c r="D208" s="21"/>
      <c r="E208" s="16"/>
      <c r="F208" s="19"/>
      <c r="G208" s="16"/>
      <c r="H208" s="32"/>
    </row>
    <row r="209" spans="1:8" ht="15" x14ac:dyDescent="0.2">
      <c r="A209" s="10"/>
      <c r="B209" s="10"/>
      <c r="C209" s="19"/>
      <c r="D209" s="33"/>
      <c r="E209" s="16"/>
      <c r="F209" s="19"/>
      <c r="G209" s="16"/>
      <c r="H209" s="32"/>
    </row>
    <row r="210" spans="1:8" ht="15" x14ac:dyDescent="0.2">
      <c r="A210" s="10"/>
      <c r="B210" s="10"/>
      <c r="C210" s="12"/>
      <c r="D210" s="21"/>
      <c r="E210" s="16"/>
      <c r="F210" s="19"/>
      <c r="G210" s="16"/>
      <c r="H210" s="32"/>
    </row>
    <row r="211" spans="1:8" ht="15" x14ac:dyDescent="0.2">
      <c r="A211" s="10"/>
      <c r="B211" s="10"/>
      <c r="C211" s="12"/>
      <c r="D211" s="21"/>
      <c r="E211" s="16"/>
      <c r="F211" s="19"/>
      <c r="G211" s="16"/>
      <c r="H211" s="32"/>
    </row>
    <row r="212" spans="1:8" ht="15" x14ac:dyDescent="0.2">
      <c r="A212" s="10"/>
      <c r="B212" s="10"/>
      <c r="C212" s="12"/>
      <c r="D212" s="21"/>
      <c r="E212" s="16"/>
      <c r="F212" s="19"/>
      <c r="G212" s="16"/>
      <c r="H212" s="32"/>
    </row>
    <row r="213" spans="1:8" ht="15" x14ac:dyDescent="0.2">
      <c r="A213" s="10"/>
      <c r="B213" s="10"/>
      <c r="C213" s="19"/>
      <c r="D213" s="33"/>
      <c r="E213" s="16"/>
      <c r="F213" s="19"/>
      <c r="G213" s="16"/>
      <c r="H213" s="32"/>
    </row>
    <row r="214" spans="1:8" ht="15" x14ac:dyDescent="0.2">
      <c r="A214" s="10"/>
      <c r="B214" s="10"/>
      <c r="C214" s="19"/>
      <c r="D214" s="21"/>
      <c r="E214" s="16"/>
      <c r="F214" s="19"/>
      <c r="G214" s="16"/>
      <c r="H214" s="32"/>
    </row>
    <row r="215" spans="1:8" ht="15" x14ac:dyDescent="0.2">
      <c r="A215" s="10"/>
      <c r="B215" s="10"/>
      <c r="C215" s="19"/>
      <c r="D215" s="21"/>
      <c r="E215" s="16"/>
      <c r="F215" s="19"/>
      <c r="G215" s="16"/>
      <c r="H215" s="32"/>
    </row>
    <row r="216" spans="1:8" ht="15" x14ac:dyDescent="0.2">
      <c r="A216" s="10"/>
      <c r="B216" s="10"/>
      <c r="C216" s="19"/>
      <c r="D216" s="21"/>
      <c r="E216" s="16"/>
      <c r="F216" s="19"/>
      <c r="G216" s="16"/>
      <c r="H216" s="32"/>
    </row>
    <row r="217" spans="1:8" ht="15" x14ac:dyDescent="0.2">
      <c r="A217" s="10"/>
      <c r="B217" s="10"/>
      <c r="C217" s="19"/>
      <c r="D217" s="21"/>
      <c r="E217" s="16"/>
      <c r="F217" s="19"/>
      <c r="G217" s="16"/>
      <c r="H217" s="32"/>
    </row>
    <row r="218" spans="1:8" ht="15" x14ac:dyDescent="0.2">
      <c r="A218" s="10"/>
      <c r="B218" s="10"/>
      <c r="C218" s="19"/>
      <c r="D218" s="21"/>
      <c r="E218" s="16"/>
      <c r="F218" s="19"/>
      <c r="G218" s="16"/>
      <c r="H218" s="32"/>
    </row>
    <row r="219" spans="1:8" ht="15" x14ac:dyDescent="0.2">
      <c r="A219" s="10"/>
      <c r="B219" s="10"/>
      <c r="C219" s="19"/>
      <c r="D219" s="33"/>
      <c r="E219" s="16"/>
      <c r="F219" s="19"/>
      <c r="G219" s="16"/>
      <c r="H219" s="32"/>
    </row>
    <row r="220" spans="1:8" ht="15" x14ac:dyDescent="0.2">
      <c r="A220" s="10"/>
      <c r="B220" s="10"/>
      <c r="C220" s="19"/>
      <c r="D220" s="21"/>
      <c r="E220" s="16"/>
      <c r="F220" s="19"/>
      <c r="G220" s="16"/>
      <c r="H220" s="32"/>
    </row>
    <row r="221" spans="1:8" ht="15" x14ac:dyDescent="0.2">
      <c r="A221" s="10"/>
      <c r="B221" s="10"/>
      <c r="C221" s="19"/>
      <c r="D221" s="21"/>
      <c r="E221" s="16"/>
      <c r="F221" s="19"/>
      <c r="G221" s="16"/>
      <c r="H221" s="32"/>
    </row>
    <row r="222" spans="1:8" ht="15" x14ac:dyDescent="0.2">
      <c r="A222" s="10"/>
      <c r="B222" s="10"/>
      <c r="C222" s="19"/>
      <c r="D222" s="21"/>
      <c r="E222" s="16"/>
      <c r="F222" s="19"/>
      <c r="G222" s="16"/>
      <c r="H222" s="32"/>
    </row>
    <row r="223" spans="1:8" ht="15" x14ac:dyDescent="0.2">
      <c r="A223" s="10"/>
      <c r="B223" s="10"/>
      <c r="C223" s="19"/>
      <c r="D223" s="31"/>
      <c r="E223" s="16"/>
      <c r="F223" s="19"/>
      <c r="G223" s="16"/>
      <c r="H223" s="32"/>
    </row>
    <row r="224" spans="1:8" ht="15" x14ac:dyDescent="0.2">
      <c r="A224" s="10"/>
      <c r="B224" s="10"/>
      <c r="C224" s="19"/>
      <c r="D224" s="33"/>
      <c r="E224" s="16"/>
      <c r="F224" s="19"/>
      <c r="G224" s="16"/>
      <c r="H224" s="32"/>
    </row>
    <row r="225" spans="1:8" ht="15" x14ac:dyDescent="0.2">
      <c r="A225" s="10"/>
      <c r="B225" s="10"/>
      <c r="C225" s="19"/>
      <c r="D225" s="21"/>
      <c r="E225" s="16"/>
      <c r="F225" s="19"/>
      <c r="G225" s="16"/>
      <c r="H225" s="32"/>
    </row>
    <row r="226" spans="1:8" ht="15" x14ac:dyDescent="0.2">
      <c r="A226" s="10"/>
      <c r="B226" s="10"/>
      <c r="C226" s="19"/>
      <c r="D226" s="21"/>
      <c r="E226" s="16"/>
      <c r="F226" s="19"/>
      <c r="G226" s="16"/>
      <c r="H226" s="32"/>
    </row>
    <row r="227" spans="1:8" ht="15" x14ac:dyDescent="0.2">
      <c r="A227" s="10"/>
      <c r="B227" s="10"/>
      <c r="C227" s="19"/>
      <c r="D227" s="21"/>
      <c r="E227" s="16"/>
      <c r="F227" s="19"/>
      <c r="G227" s="16"/>
      <c r="H227" s="32"/>
    </row>
    <row r="228" spans="1:8" ht="15.75" x14ac:dyDescent="0.2">
      <c r="A228" s="9"/>
      <c r="B228" s="9"/>
      <c r="C228" s="9"/>
      <c r="D228" s="17"/>
      <c r="E228" s="18"/>
      <c r="F228" s="19"/>
      <c r="G228" s="18"/>
      <c r="H228" s="20"/>
    </row>
    <row r="229" spans="1:8" ht="15.75" x14ac:dyDescent="0.2">
      <c r="A229" s="8"/>
      <c r="B229" s="8"/>
      <c r="C229" s="9"/>
      <c r="D229" s="34"/>
      <c r="E229" s="34"/>
      <c r="F229" s="34"/>
      <c r="G229" s="34"/>
      <c r="H229" s="34"/>
    </row>
    <row r="230" spans="1:8" ht="15.75" x14ac:dyDescent="0.2">
      <c r="A230" s="8"/>
      <c r="B230" s="8"/>
      <c r="C230" s="9"/>
      <c r="D230" s="33"/>
      <c r="E230" s="16"/>
      <c r="F230" s="19"/>
      <c r="G230" s="16"/>
      <c r="H230" s="32"/>
    </row>
    <row r="231" spans="1:8" ht="15" x14ac:dyDescent="0.2">
      <c r="A231" s="10"/>
      <c r="B231" s="10"/>
      <c r="C231" s="19"/>
      <c r="D231" s="31"/>
      <c r="E231" s="16"/>
      <c r="F231" s="19"/>
      <c r="G231" s="16"/>
      <c r="H231" s="32"/>
    </row>
    <row r="232" spans="1:8" ht="15" x14ac:dyDescent="0.2">
      <c r="A232" s="10"/>
      <c r="B232" s="10"/>
      <c r="C232" s="19"/>
      <c r="D232" s="31"/>
      <c r="E232" s="16"/>
      <c r="F232" s="19"/>
      <c r="G232" s="16"/>
      <c r="H232" s="32"/>
    </row>
    <row r="233" spans="1:8" ht="15" x14ac:dyDescent="0.2">
      <c r="A233" s="10"/>
      <c r="B233" s="10"/>
      <c r="C233" s="19"/>
      <c r="D233" s="31"/>
      <c r="E233" s="16"/>
      <c r="F233" s="19"/>
      <c r="G233" s="16"/>
      <c r="H233" s="32"/>
    </row>
    <row r="234" spans="1:8" ht="15" x14ac:dyDescent="0.2">
      <c r="A234" s="10"/>
      <c r="B234" s="10"/>
      <c r="C234" s="19"/>
      <c r="D234" s="33"/>
      <c r="E234" s="16"/>
      <c r="F234" s="19"/>
      <c r="G234" s="16"/>
      <c r="H234" s="32"/>
    </row>
    <row r="235" spans="1:8" ht="15" x14ac:dyDescent="0.2">
      <c r="A235" s="10"/>
      <c r="B235" s="10"/>
      <c r="C235" s="19"/>
      <c r="D235" s="31"/>
      <c r="E235" s="16"/>
      <c r="F235" s="19"/>
      <c r="G235" s="16"/>
      <c r="H235" s="32"/>
    </row>
    <row r="236" spans="1:8" ht="15" x14ac:dyDescent="0.2">
      <c r="A236" s="10"/>
      <c r="B236" s="10"/>
      <c r="C236" s="19"/>
      <c r="D236" s="31"/>
      <c r="E236" s="16"/>
      <c r="F236" s="19"/>
      <c r="G236" s="16"/>
      <c r="H236" s="32"/>
    </row>
    <row r="237" spans="1:8" ht="15" x14ac:dyDescent="0.2">
      <c r="A237" s="10"/>
      <c r="B237" s="10"/>
      <c r="C237" s="19"/>
      <c r="D237" s="31"/>
      <c r="E237" s="16"/>
      <c r="F237" s="19"/>
      <c r="G237" s="16"/>
      <c r="H237" s="32"/>
    </row>
    <row r="238" spans="1:8" ht="15" x14ac:dyDescent="0.2">
      <c r="A238" s="10"/>
      <c r="B238" s="10"/>
      <c r="C238" s="19"/>
      <c r="D238" s="31"/>
      <c r="E238" s="16"/>
      <c r="F238" s="19"/>
      <c r="G238" s="16"/>
      <c r="H238" s="32"/>
    </row>
    <row r="239" spans="1:8" ht="15" x14ac:dyDescent="0.2">
      <c r="A239" s="10"/>
      <c r="B239" s="10"/>
      <c r="C239" s="19"/>
      <c r="D239" s="31"/>
      <c r="E239" s="16"/>
      <c r="F239" s="19"/>
      <c r="G239" s="16"/>
      <c r="H239" s="32"/>
    </row>
    <row r="240" spans="1:8" ht="15" x14ac:dyDescent="0.2">
      <c r="A240" s="10"/>
      <c r="B240" s="10"/>
      <c r="C240" s="19"/>
      <c r="D240" s="31"/>
      <c r="E240" s="16"/>
      <c r="F240" s="19"/>
      <c r="G240" s="16"/>
      <c r="H240" s="32"/>
    </row>
    <row r="241" spans="1:11" ht="15" x14ac:dyDescent="0.2">
      <c r="A241" s="10"/>
      <c r="B241" s="10"/>
      <c r="C241" s="19"/>
      <c r="D241" s="31"/>
      <c r="E241" s="16"/>
      <c r="F241" s="19"/>
      <c r="G241" s="16"/>
      <c r="H241" s="32"/>
    </row>
    <row r="242" spans="1:11" ht="15" x14ac:dyDescent="0.2">
      <c r="A242" s="10"/>
      <c r="B242" s="10"/>
      <c r="C242" s="19"/>
      <c r="D242" s="31"/>
      <c r="E242" s="16"/>
      <c r="F242" s="19"/>
      <c r="G242" s="16"/>
      <c r="H242" s="32"/>
    </row>
    <row r="243" spans="1:11" ht="15" x14ac:dyDescent="0.2">
      <c r="A243" s="10"/>
      <c r="B243" s="10"/>
      <c r="C243" s="19"/>
      <c r="D243" s="31"/>
      <c r="E243" s="16"/>
      <c r="F243" s="19"/>
      <c r="G243" s="16"/>
      <c r="H243" s="32"/>
    </row>
    <row r="244" spans="1:11" ht="15" x14ac:dyDescent="0.2">
      <c r="A244" s="10"/>
      <c r="B244" s="10"/>
      <c r="C244" s="19"/>
      <c r="D244" s="31"/>
      <c r="E244" s="16"/>
      <c r="F244" s="19"/>
      <c r="G244" s="16"/>
      <c r="H244" s="32"/>
    </row>
    <row r="245" spans="1:11" ht="15" x14ac:dyDescent="0.2">
      <c r="A245" s="10"/>
      <c r="B245" s="10"/>
      <c r="C245" s="19"/>
      <c r="D245" s="33"/>
      <c r="E245" s="16"/>
      <c r="F245" s="19"/>
      <c r="G245" s="16"/>
      <c r="H245" s="32"/>
    </row>
    <row r="246" spans="1:11" ht="15" x14ac:dyDescent="0.2">
      <c r="A246" s="10"/>
      <c r="B246" s="10"/>
      <c r="C246" s="19"/>
      <c r="D246" s="35"/>
      <c r="E246" s="16"/>
      <c r="F246" s="19"/>
      <c r="G246" s="16"/>
      <c r="H246" s="32"/>
    </row>
    <row r="247" spans="1:11" ht="15" x14ac:dyDescent="0.2">
      <c r="A247" s="10"/>
      <c r="B247" s="10"/>
      <c r="C247" s="19"/>
      <c r="D247" s="35"/>
      <c r="E247" s="16"/>
      <c r="F247" s="19"/>
      <c r="G247" s="16"/>
      <c r="H247" s="32"/>
    </row>
    <row r="248" spans="1:11" ht="15.75" x14ac:dyDescent="0.2">
      <c r="A248" s="9"/>
      <c r="B248" s="9"/>
      <c r="C248" s="9"/>
      <c r="D248" s="17"/>
      <c r="E248" s="18"/>
      <c r="F248" s="19"/>
      <c r="G248" s="18"/>
      <c r="H248" s="20"/>
    </row>
    <row r="249" spans="1:11" ht="15.75" x14ac:dyDescent="0.2">
      <c r="A249" s="8"/>
      <c r="B249" s="8"/>
      <c r="C249" s="9"/>
      <c r="D249" s="34"/>
      <c r="E249" s="34"/>
      <c r="F249" s="34"/>
      <c r="G249" s="34"/>
      <c r="H249" s="34"/>
    </row>
    <row r="250" spans="1:11" ht="15" x14ac:dyDescent="0.2">
      <c r="A250" s="10"/>
      <c r="B250" s="12"/>
      <c r="C250" s="12"/>
      <c r="D250" s="21"/>
      <c r="E250" s="16"/>
      <c r="F250" s="19"/>
      <c r="G250" s="16"/>
      <c r="H250" s="32"/>
    </row>
    <row r="251" spans="1:11" ht="15" x14ac:dyDescent="0.2">
      <c r="A251" s="10"/>
      <c r="B251" s="12"/>
      <c r="C251" s="12"/>
      <c r="D251" s="21"/>
      <c r="E251" s="16"/>
      <c r="F251" s="19"/>
      <c r="G251" s="16"/>
      <c r="H251" s="32"/>
      <c r="J251" s="2"/>
      <c r="K251" s="5"/>
    </row>
    <row r="252" spans="1:11" ht="15" x14ac:dyDescent="0.2">
      <c r="A252" s="10"/>
      <c r="B252" s="12"/>
      <c r="C252" s="12"/>
      <c r="D252" s="21"/>
      <c r="E252" s="16"/>
      <c r="F252" s="19"/>
      <c r="G252" s="16"/>
      <c r="H252" s="32"/>
    </row>
    <row r="253" spans="1:11" ht="15.75" x14ac:dyDescent="0.2">
      <c r="A253" s="9"/>
      <c r="B253" s="9"/>
      <c r="C253" s="9"/>
      <c r="D253" s="17"/>
      <c r="E253" s="18"/>
      <c r="F253" s="19"/>
      <c r="G253" s="18"/>
      <c r="H253" s="20"/>
    </row>
    <row r="254" spans="1:11" ht="15.75" x14ac:dyDescent="0.2">
      <c r="A254" s="8"/>
      <c r="B254" s="8"/>
      <c r="C254" s="9"/>
      <c r="D254" s="34"/>
      <c r="E254" s="34"/>
      <c r="F254" s="34"/>
      <c r="G254" s="34"/>
      <c r="H254" s="34"/>
    </row>
    <row r="255" spans="1:11" ht="15" x14ac:dyDescent="0.2">
      <c r="A255" s="10"/>
      <c r="B255" s="10"/>
      <c r="C255" s="19"/>
      <c r="D255" s="33"/>
      <c r="E255" s="16"/>
      <c r="F255" s="19"/>
      <c r="G255" s="16"/>
      <c r="H255" s="32"/>
    </row>
    <row r="256" spans="1:11" ht="15" x14ac:dyDescent="0.2">
      <c r="A256" s="10"/>
      <c r="B256" s="10"/>
      <c r="C256" s="19"/>
      <c r="D256" s="21"/>
      <c r="E256" s="16"/>
      <c r="F256" s="19"/>
      <c r="G256" s="16"/>
      <c r="H256" s="32"/>
    </row>
    <row r="257" spans="1:8" ht="15" x14ac:dyDescent="0.2">
      <c r="A257" s="10"/>
      <c r="B257" s="10"/>
      <c r="C257" s="19"/>
      <c r="D257" s="21"/>
      <c r="E257" s="16"/>
      <c r="F257" s="19"/>
      <c r="G257" s="16"/>
      <c r="H257" s="32"/>
    </row>
    <row r="258" spans="1:8" ht="15" x14ac:dyDescent="0.2">
      <c r="A258" s="10"/>
      <c r="B258" s="10"/>
      <c r="C258" s="19"/>
      <c r="D258" s="21"/>
      <c r="E258" s="16"/>
      <c r="F258" s="19"/>
      <c r="G258" s="16"/>
      <c r="H258" s="32"/>
    </row>
    <row r="259" spans="1:8" ht="15" x14ac:dyDescent="0.2">
      <c r="A259" s="10"/>
      <c r="B259" s="10"/>
      <c r="C259" s="19"/>
      <c r="D259" s="33"/>
      <c r="E259" s="16"/>
      <c r="F259" s="19"/>
      <c r="G259" s="16"/>
      <c r="H259" s="32"/>
    </row>
    <row r="260" spans="1:8" ht="15" x14ac:dyDescent="0.2">
      <c r="A260" s="10"/>
      <c r="B260" s="10"/>
      <c r="C260" s="19"/>
      <c r="D260" s="21"/>
      <c r="E260" s="16"/>
      <c r="F260" s="19"/>
      <c r="G260" s="16"/>
      <c r="H260" s="32"/>
    </row>
    <row r="261" spans="1:8" ht="15" x14ac:dyDescent="0.2">
      <c r="A261" s="10"/>
      <c r="B261" s="10"/>
      <c r="C261" s="19"/>
      <c r="D261" s="21"/>
      <c r="E261" s="16"/>
      <c r="F261" s="19"/>
      <c r="G261" s="16"/>
      <c r="H261" s="32"/>
    </row>
    <row r="262" spans="1:8" ht="15" x14ac:dyDescent="0.2">
      <c r="A262" s="10"/>
      <c r="B262" s="10"/>
      <c r="C262" s="19"/>
      <c r="D262" s="21"/>
      <c r="E262" s="16"/>
      <c r="F262" s="19"/>
      <c r="G262" s="16"/>
      <c r="H262" s="32"/>
    </row>
    <row r="263" spans="1:8" ht="15" x14ac:dyDescent="0.2">
      <c r="A263" s="10"/>
      <c r="B263" s="10"/>
      <c r="C263" s="19"/>
      <c r="D263" s="21"/>
      <c r="E263" s="16"/>
      <c r="F263" s="19"/>
      <c r="G263" s="16"/>
      <c r="H263" s="32"/>
    </row>
    <row r="264" spans="1:8" ht="15" x14ac:dyDescent="0.2">
      <c r="A264" s="10"/>
      <c r="B264" s="10"/>
      <c r="C264" s="19"/>
      <c r="D264" s="21"/>
      <c r="E264" s="16"/>
      <c r="F264" s="19"/>
      <c r="G264" s="16"/>
      <c r="H264" s="32"/>
    </row>
    <row r="265" spans="1:8" ht="15" x14ac:dyDescent="0.2">
      <c r="A265" s="10"/>
      <c r="B265" s="10"/>
      <c r="C265" s="19"/>
      <c r="D265" s="21"/>
      <c r="E265" s="16"/>
      <c r="F265" s="19"/>
      <c r="G265" s="16"/>
      <c r="H265" s="32"/>
    </row>
    <row r="266" spans="1:8" ht="15" x14ac:dyDescent="0.2">
      <c r="A266" s="10"/>
      <c r="B266" s="10"/>
      <c r="C266" s="19"/>
      <c r="D266" s="31"/>
      <c r="E266" s="16"/>
      <c r="F266" s="19"/>
      <c r="G266" s="16"/>
      <c r="H266" s="32"/>
    </row>
    <row r="267" spans="1:8" ht="15" x14ac:dyDescent="0.2">
      <c r="A267" s="10"/>
      <c r="B267" s="10"/>
      <c r="C267" s="19"/>
      <c r="D267" s="31"/>
      <c r="E267" s="16"/>
      <c r="F267" s="19"/>
      <c r="G267" s="16"/>
      <c r="H267" s="32"/>
    </row>
    <row r="268" spans="1:8" ht="15" x14ac:dyDescent="0.2">
      <c r="A268" s="10"/>
      <c r="B268" s="10"/>
      <c r="C268" s="19"/>
      <c r="D268" s="31"/>
      <c r="E268" s="16"/>
      <c r="F268" s="19"/>
      <c r="G268" s="16"/>
      <c r="H268" s="32"/>
    </row>
    <row r="269" spans="1:8" ht="15" x14ac:dyDescent="0.2">
      <c r="A269" s="10"/>
      <c r="B269" s="10"/>
      <c r="C269" s="19"/>
      <c r="D269" s="21"/>
      <c r="E269" s="16"/>
      <c r="F269" s="19"/>
      <c r="G269" s="16"/>
      <c r="H269" s="32"/>
    </row>
    <row r="270" spans="1:8" ht="15" x14ac:dyDescent="0.2">
      <c r="A270" s="10"/>
      <c r="B270" s="10"/>
      <c r="C270" s="19"/>
      <c r="D270" s="21"/>
      <c r="E270" s="16"/>
      <c r="F270" s="19"/>
      <c r="G270" s="16"/>
      <c r="H270" s="32"/>
    </row>
    <row r="271" spans="1:8" ht="15" x14ac:dyDescent="0.2">
      <c r="A271" s="10"/>
      <c r="B271" s="10"/>
      <c r="C271" s="19"/>
      <c r="D271" s="33"/>
      <c r="E271" s="16"/>
      <c r="F271" s="19"/>
      <c r="G271" s="16"/>
      <c r="H271" s="32"/>
    </row>
    <row r="272" spans="1:8" ht="15" x14ac:dyDescent="0.2">
      <c r="A272" s="10"/>
      <c r="B272" s="10"/>
      <c r="C272" s="19"/>
      <c r="D272" s="21"/>
      <c r="E272" s="16"/>
      <c r="F272" s="19"/>
      <c r="G272" s="16"/>
      <c r="H272" s="32"/>
    </row>
    <row r="273" spans="1:8" ht="15" x14ac:dyDescent="0.2">
      <c r="A273" s="10"/>
      <c r="B273" s="10"/>
      <c r="C273" s="19"/>
      <c r="D273" s="31"/>
      <c r="E273" s="16"/>
      <c r="F273" s="19"/>
      <c r="G273" s="16"/>
      <c r="H273" s="32"/>
    </row>
    <row r="274" spans="1:8" ht="15" x14ac:dyDescent="0.2">
      <c r="A274" s="10"/>
      <c r="B274" s="10"/>
      <c r="C274" s="19"/>
      <c r="D274" s="31"/>
      <c r="E274" s="16"/>
      <c r="F274" s="19"/>
      <c r="G274" s="16"/>
      <c r="H274" s="32"/>
    </row>
    <row r="275" spans="1:8" ht="15" x14ac:dyDescent="0.2">
      <c r="A275" s="10"/>
      <c r="B275" s="10"/>
      <c r="C275" s="19"/>
      <c r="D275" s="31"/>
      <c r="E275" s="16"/>
      <c r="F275" s="19"/>
      <c r="G275" s="16"/>
      <c r="H275" s="32"/>
    </row>
    <row r="276" spans="1:8" ht="15.75" x14ac:dyDescent="0.2">
      <c r="A276" s="9"/>
      <c r="B276" s="9"/>
      <c r="C276" s="9"/>
      <c r="D276" s="17"/>
      <c r="E276" s="18"/>
      <c r="F276" s="19"/>
      <c r="G276" s="18"/>
      <c r="H276" s="20"/>
    </row>
    <row r="277" spans="1:8" ht="15.75" x14ac:dyDescent="0.2">
      <c r="A277" s="8"/>
      <c r="B277" s="8"/>
      <c r="C277" s="9"/>
      <c r="D277" s="34"/>
      <c r="E277" s="34"/>
      <c r="F277" s="34"/>
      <c r="G277" s="34"/>
      <c r="H277" s="34"/>
    </row>
    <row r="278" spans="1:8" ht="15" x14ac:dyDescent="0.2">
      <c r="A278" s="10"/>
      <c r="B278" s="10"/>
      <c r="C278" s="19"/>
      <c r="D278" s="33"/>
      <c r="E278" s="16"/>
      <c r="F278" s="19"/>
      <c r="G278" s="16"/>
      <c r="H278" s="32"/>
    </row>
    <row r="279" spans="1:8" ht="15" x14ac:dyDescent="0.2">
      <c r="A279" s="10"/>
      <c r="B279" s="10"/>
      <c r="C279" s="19"/>
      <c r="D279" s="36"/>
      <c r="E279" s="16"/>
      <c r="F279" s="19"/>
      <c r="G279" s="16"/>
      <c r="H279" s="32"/>
    </row>
    <row r="280" spans="1:8" ht="15" x14ac:dyDescent="0.2">
      <c r="A280" s="10"/>
      <c r="B280" s="10"/>
      <c r="C280" s="19"/>
      <c r="D280" s="31"/>
      <c r="E280" s="16"/>
      <c r="F280" s="19"/>
      <c r="G280" s="16"/>
      <c r="H280" s="32"/>
    </row>
    <row r="281" spans="1:8" ht="15" x14ac:dyDescent="0.2">
      <c r="A281" s="10"/>
      <c r="B281" s="10"/>
      <c r="C281" s="19"/>
      <c r="D281" s="31"/>
      <c r="E281" s="16"/>
      <c r="F281" s="19"/>
      <c r="G281" s="16"/>
      <c r="H281" s="32"/>
    </row>
    <row r="282" spans="1:8" ht="15" x14ac:dyDescent="0.2">
      <c r="A282" s="10"/>
      <c r="B282" s="10"/>
      <c r="C282" s="19"/>
      <c r="D282" s="36"/>
      <c r="E282" s="16"/>
      <c r="F282" s="19"/>
      <c r="G282" s="16"/>
      <c r="H282" s="32"/>
    </row>
    <row r="283" spans="1:8" ht="15" x14ac:dyDescent="0.2">
      <c r="A283" s="10"/>
      <c r="B283" s="10"/>
      <c r="C283" s="19"/>
      <c r="D283" s="31"/>
      <c r="E283" s="16"/>
      <c r="F283" s="19"/>
      <c r="G283" s="16"/>
      <c r="H283" s="32"/>
    </row>
    <row r="284" spans="1:8" ht="15" x14ac:dyDescent="0.2">
      <c r="A284" s="10"/>
      <c r="B284" s="12"/>
      <c r="C284" s="12"/>
      <c r="D284" s="36"/>
      <c r="E284" s="16"/>
      <c r="F284" s="19"/>
      <c r="G284" s="16"/>
      <c r="H284" s="32"/>
    </row>
    <row r="285" spans="1:8" ht="15" x14ac:dyDescent="0.2">
      <c r="A285" s="10"/>
      <c r="B285" s="12"/>
      <c r="C285" s="12"/>
      <c r="D285" s="31"/>
      <c r="E285" s="16"/>
      <c r="F285" s="19"/>
      <c r="G285" s="16"/>
      <c r="H285" s="32"/>
    </row>
    <row r="286" spans="1:8" ht="15.75" x14ac:dyDescent="0.2">
      <c r="A286" s="9"/>
      <c r="B286" s="9"/>
      <c r="C286" s="9"/>
      <c r="D286" s="17"/>
      <c r="E286" s="18"/>
      <c r="F286" s="19"/>
      <c r="G286" s="18"/>
      <c r="H286" s="20"/>
    </row>
    <row r="287" spans="1:8" ht="15.75" x14ac:dyDescent="0.2">
      <c r="A287" s="9"/>
      <c r="B287" s="9"/>
      <c r="C287" s="9"/>
      <c r="D287" s="9"/>
      <c r="E287" s="18"/>
      <c r="F287" s="18"/>
      <c r="G287" s="18"/>
      <c r="H287" s="20"/>
    </row>
    <row r="288" spans="1:8" ht="23.25" x14ac:dyDescent="0.2">
      <c r="A288" s="204"/>
      <c r="B288" s="204"/>
      <c r="C288" s="204"/>
      <c r="D288" s="204"/>
      <c r="E288" s="205"/>
      <c r="F288" s="205"/>
      <c r="G288" s="205"/>
      <c r="H288" s="37"/>
    </row>
    <row r="289" spans="1:8" ht="18" customHeight="1" x14ac:dyDescent="0.2">
      <c r="A289" s="206"/>
      <c r="B289" s="206"/>
      <c r="C289" s="206"/>
      <c r="D289" s="206"/>
      <c r="E289" s="206"/>
      <c r="F289" s="206"/>
      <c r="G289" s="206"/>
      <c r="H289" s="206"/>
    </row>
    <row r="290" spans="1:8" ht="18" customHeight="1" x14ac:dyDescent="0.2">
      <c r="A290" s="206"/>
      <c r="B290" s="206"/>
      <c r="C290" s="206"/>
      <c r="D290" s="206"/>
      <c r="E290" s="206"/>
      <c r="F290" s="206"/>
      <c r="G290" s="206"/>
      <c r="H290" s="206"/>
    </row>
    <row r="291" spans="1:8" ht="18" customHeight="1" x14ac:dyDescent="0.2">
      <c r="A291" s="206"/>
      <c r="B291" s="206"/>
      <c r="C291" s="206"/>
      <c r="D291" s="206"/>
      <c r="E291" s="206"/>
      <c r="F291" s="206"/>
      <c r="G291" s="206"/>
      <c r="H291" s="206"/>
    </row>
    <row r="292" spans="1:8" ht="18" customHeight="1" x14ac:dyDescent="0.25">
      <c r="A292" s="38"/>
      <c r="B292" s="38"/>
      <c r="C292" s="39"/>
      <c r="D292" s="40"/>
      <c r="E292" s="38"/>
      <c r="F292" s="38"/>
      <c r="G292" s="38"/>
      <c r="H292" s="41"/>
    </row>
    <row r="293" spans="1:8" ht="18" customHeight="1" x14ac:dyDescent="0.25">
      <c r="A293" s="38"/>
      <c r="B293" s="38"/>
      <c r="C293" s="39"/>
      <c r="D293" s="38"/>
      <c r="E293" s="38"/>
      <c r="F293" s="38"/>
      <c r="G293" s="38"/>
      <c r="H293" s="38"/>
    </row>
    <row r="294" spans="1:8" ht="18" customHeight="1" x14ac:dyDescent="0.25">
      <c r="A294" s="38"/>
      <c r="B294" s="38"/>
      <c r="C294" s="39"/>
      <c r="D294" s="38"/>
      <c r="E294" s="38"/>
      <c r="F294" s="38"/>
      <c r="G294" s="38"/>
      <c r="H294" s="38"/>
    </row>
    <row r="295" spans="1:8" ht="20.45" customHeight="1" x14ac:dyDescent="0.25">
      <c r="A295" s="202"/>
      <c r="B295" s="202"/>
      <c r="C295" s="202"/>
      <c r="D295" s="202"/>
      <c r="E295" s="202"/>
      <c r="F295" s="202"/>
      <c r="G295" s="202"/>
      <c r="H295" s="202"/>
    </row>
    <row r="296" spans="1:8" ht="20.45" customHeight="1" x14ac:dyDescent="0.2">
      <c r="A296" s="201"/>
      <c r="B296" s="201"/>
      <c r="C296" s="201"/>
      <c r="D296" s="201"/>
      <c r="E296" s="201"/>
      <c r="F296" s="201"/>
      <c r="G296" s="201"/>
      <c r="H296" s="201"/>
    </row>
    <row r="297" spans="1:8" ht="15.6" customHeight="1" x14ac:dyDescent="0.2">
      <c r="A297" s="201"/>
      <c r="B297" s="201"/>
      <c r="C297" s="201"/>
      <c r="D297" s="201"/>
      <c r="E297" s="201"/>
      <c r="F297" s="201"/>
      <c r="G297" s="201"/>
      <c r="H297" s="201"/>
    </row>
    <row r="298" spans="1:8" ht="12.6" customHeight="1" x14ac:dyDescent="0.2">
      <c r="A298" s="201"/>
      <c r="B298" s="201"/>
      <c r="C298" s="201"/>
      <c r="D298" s="201"/>
      <c r="E298" s="201"/>
      <c r="F298" s="201"/>
      <c r="G298" s="201"/>
      <c r="H298" s="201"/>
    </row>
    <row r="299" spans="1:8" ht="20.45" customHeight="1" x14ac:dyDescent="0.25">
      <c r="A299" s="202"/>
      <c r="B299" s="202"/>
      <c r="C299" s="202"/>
      <c r="D299" s="202"/>
      <c r="E299" s="202"/>
      <c r="F299" s="202"/>
      <c r="G299" s="202"/>
      <c r="H299" s="202"/>
    </row>
    <row r="300" spans="1:8" ht="75" customHeight="1" x14ac:dyDescent="0.2">
      <c r="A300" s="203"/>
      <c r="B300" s="203"/>
      <c r="C300" s="203"/>
      <c r="D300" s="203"/>
      <c r="E300" s="203"/>
      <c r="F300" s="203"/>
      <c r="G300" s="203"/>
      <c r="H300" s="203"/>
    </row>
    <row r="301" spans="1:8" ht="18" customHeight="1" x14ac:dyDescent="0.2">
      <c r="A301" s="203"/>
      <c r="B301" s="203"/>
      <c r="C301" s="203"/>
      <c r="D301" s="203"/>
      <c r="E301" s="203"/>
      <c r="F301" s="203"/>
      <c r="G301" s="203"/>
      <c r="H301" s="203"/>
    </row>
    <row r="302" spans="1:8" ht="18" customHeight="1" x14ac:dyDescent="0.2">
      <c r="A302" s="203"/>
      <c r="B302" s="203"/>
      <c r="C302" s="203"/>
      <c r="D302" s="203"/>
      <c r="E302" s="203"/>
      <c r="F302" s="203"/>
      <c r="G302" s="203"/>
      <c r="H302" s="203"/>
    </row>
    <row r="303" spans="1:8" ht="18" customHeight="1" x14ac:dyDescent="0.2">
      <c r="A303" s="203"/>
      <c r="B303" s="203"/>
      <c r="C303" s="203"/>
      <c r="D303" s="203"/>
      <c r="E303" s="203"/>
      <c r="F303" s="203"/>
      <c r="G303" s="203"/>
      <c r="H303" s="203"/>
    </row>
    <row r="304" spans="1:8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</sheetData>
  <sheetProtection selectLockedCells="1" selectUnlockedCells="1"/>
  <mergeCells count="59">
    <mergeCell ref="W6:X6"/>
    <mergeCell ref="W7:X7"/>
    <mergeCell ref="W8:X8"/>
    <mergeCell ref="S4:V8"/>
    <mergeCell ref="A3:X3"/>
    <mergeCell ref="W4:X4"/>
    <mergeCell ref="W5:X5"/>
    <mergeCell ref="D4:R5"/>
    <mergeCell ref="A4:C5"/>
    <mergeCell ref="A6:R6"/>
    <mergeCell ref="A7:R7"/>
    <mergeCell ref="A8:R8"/>
    <mergeCell ref="A1:X1"/>
    <mergeCell ref="A2:X2"/>
    <mergeCell ref="A33:A34"/>
    <mergeCell ref="B33:B34"/>
    <mergeCell ref="C33:C34"/>
    <mergeCell ref="D33:D34"/>
    <mergeCell ref="E33:E34"/>
    <mergeCell ref="U9:V9"/>
    <mergeCell ref="W9:X9"/>
    <mergeCell ref="A31:D31"/>
    <mergeCell ref="A32:D32"/>
    <mergeCell ref="I9:J9"/>
    <mergeCell ref="K9:L9"/>
    <mergeCell ref="M9:N9"/>
    <mergeCell ref="O9:P9"/>
    <mergeCell ref="Q9:R9"/>
    <mergeCell ref="D195:H195"/>
    <mergeCell ref="G33:G34"/>
    <mergeCell ref="H33:H34"/>
    <mergeCell ref="D38:H38"/>
    <mergeCell ref="D45:H45"/>
    <mergeCell ref="D51:H51"/>
    <mergeCell ref="D64:H64"/>
    <mergeCell ref="F33:F34"/>
    <mergeCell ref="D73:H73"/>
    <mergeCell ref="D80:H80"/>
    <mergeCell ref="D87:H87"/>
    <mergeCell ref="D94:H94"/>
    <mergeCell ref="D158:H158"/>
    <mergeCell ref="A298:H298"/>
    <mergeCell ref="A299:H299"/>
    <mergeCell ref="A300:H303"/>
    <mergeCell ref="A288:D288"/>
    <mergeCell ref="E288:G288"/>
    <mergeCell ref="A289:H291"/>
    <mergeCell ref="A295:H295"/>
    <mergeCell ref="A296:H296"/>
    <mergeCell ref="A297:H297"/>
    <mergeCell ref="P34:X34"/>
    <mergeCell ref="R40:X40"/>
    <mergeCell ref="R41:X42"/>
    <mergeCell ref="S9:T9"/>
    <mergeCell ref="A9:A10"/>
    <mergeCell ref="B9:B10"/>
    <mergeCell ref="C9:D9"/>
    <mergeCell ref="E9:F9"/>
    <mergeCell ref="G9:H9"/>
  </mergeCells>
  <phoneticPr fontId="12" type="noConversion"/>
  <conditionalFormatting sqref="D107">
    <cfRule type="expression" dxfId="17" priority="10" stopIfTrue="1">
      <formula>#REF!&lt;3</formula>
    </cfRule>
    <cfRule type="expression" dxfId="16" priority="11" stopIfTrue="1">
      <formula>#REF!=3</formula>
    </cfRule>
    <cfRule type="expression" dxfId="15" priority="12" stopIfTrue="1">
      <formula>#REF!&lt;7</formula>
    </cfRule>
  </conditionalFormatting>
  <conditionalFormatting sqref="D116">
    <cfRule type="expression" dxfId="14" priority="1" stopIfTrue="1">
      <formula>#REF!&lt;3</formula>
    </cfRule>
    <cfRule type="expression" dxfId="13" priority="2" stopIfTrue="1">
      <formula>#REF!=3</formula>
    </cfRule>
    <cfRule type="expression" dxfId="12" priority="3" stopIfTrue="1">
      <formula>#REF!&lt;7</formula>
    </cfRule>
  </conditionalFormatting>
  <conditionalFormatting sqref="D39:F43 D53:F53 D55:F62">
    <cfRule type="expression" dxfId="11" priority="16" stopIfTrue="1">
      <formula>#REF!&lt;3</formula>
    </cfRule>
    <cfRule type="expression" dxfId="10" priority="17" stopIfTrue="1">
      <formula>#REF!=3</formula>
    </cfRule>
    <cfRule type="expression" dxfId="9" priority="18" stopIfTrue="1">
      <formula>#REF!&lt;7</formula>
    </cfRule>
  </conditionalFormatting>
  <conditionalFormatting sqref="D46:F49">
    <cfRule type="expression" dxfId="8" priority="13" stopIfTrue="1">
      <formula>#REF!&lt;3</formula>
    </cfRule>
    <cfRule type="expression" dxfId="7" priority="14" stopIfTrue="1">
      <formula>#REF!=3</formula>
    </cfRule>
    <cfRule type="expression" dxfId="6" priority="15" stopIfTrue="1">
      <formula>#REF!&lt;7</formula>
    </cfRule>
  </conditionalFormatting>
  <conditionalFormatting sqref="D66:F66">
    <cfRule type="expression" dxfId="5" priority="7" stopIfTrue="1">
      <formula>#REF!&lt;3</formula>
    </cfRule>
    <cfRule type="expression" dxfId="4" priority="8" stopIfTrue="1">
      <formula>#REF!=3</formula>
    </cfRule>
    <cfRule type="expression" dxfId="3" priority="9" stopIfTrue="1">
      <formula>#REF!&lt;7</formula>
    </cfRule>
  </conditionalFormatting>
  <conditionalFormatting sqref="D68:F68">
    <cfRule type="expression" dxfId="2" priority="4" stopIfTrue="1">
      <formula>#REF!&lt;3</formula>
    </cfRule>
    <cfRule type="expression" dxfId="1" priority="5" stopIfTrue="1">
      <formula>#REF!=3</formula>
    </cfRule>
    <cfRule type="expression" dxfId="0" priority="6" stopIfTrue="1">
      <formula>#REF!&lt;7</formula>
    </cfRule>
  </conditionalFormatting>
  <printOptions horizontalCentered="1"/>
  <pageMargins left="0.19685039370078741" right="0" top="0.19685039370078741" bottom="0.31496062992125984" header="0.27559055118110237" footer="0.15748031496062992"/>
  <pageSetup paperSize="9" scale="51" firstPageNumber="0" fitToHeight="0" orientation="landscape" r:id="rId1"/>
  <headerFooter scaleWithDoc="0" alignWithMargins="0"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11</vt:i4>
      </vt:variant>
    </vt:vector>
  </HeadingPairs>
  <TitlesOfParts>
    <vt:vector size="13" baseType="lpstr">
      <vt:lpstr>PLANILHA</vt:lpstr>
      <vt:lpstr>FISICO FINANCEIRO</vt:lpstr>
      <vt:lpstr>'FISICO FINANCEIRO'!Area_de_impressao</vt:lpstr>
      <vt:lpstr>'FISICO FINANCEIRO'!Excel_BuiltIn_Print_Area_1_1</vt:lpstr>
      <vt:lpstr>Excel_BuiltIn_Print_Area_1_1</vt:lpstr>
      <vt:lpstr>'FISICO FINANCEIRO'!Excel_BuiltIn_Print_Area_1_1_1</vt:lpstr>
      <vt:lpstr>Excel_BuiltIn_Print_Area_1_1_1</vt:lpstr>
      <vt:lpstr>'FISICO FINANCEIRO'!Excel_BuiltIn_Print_Titles_1_1</vt:lpstr>
      <vt:lpstr>Excel_BuiltIn_Print_Titles_1_1</vt:lpstr>
      <vt:lpstr>'FISICO FINANCEIRO'!Excel_BuiltIn_Print_Titles_1_1_1</vt:lpstr>
      <vt:lpstr>Excel_BuiltIn_Print_Titles_1_1_1</vt:lpstr>
      <vt:lpstr>'FISICO FINANCEIRO'!Titulos_de_impressao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 Pires</dc:creator>
  <cp:lastModifiedBy>Usuário</cp:lastModifiedBy>
  <cp:lastPrinted>2025-02-06T14:23:51Z</cp:lastPrinted>
  <dcterms:created xsi:type="dcterms:W3CDTF">2018-06-03T21:45:35Z</dcterms:created>
  <dcterms:modified xsi:type="dcterms:W3CDTF">2025-02-06T14:24:13Z</dcterms:modified>
</cp:coreProperties>
</file>